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pablaza\Documents\Estadistica - 2025\"/>
    </mc:Choice>
  </mc:AlternateContent>
  <workbookProtection workbookAlgorithmName="SHA-512" workbookHashValue="lsbdjYCnkedYZQ7MIDNj4IBXQDP6bxBMmHLW00AXDIMX+km3xse8N5wxlN+3Gs9uGCs8L2QKdfTJ1izChg+lGA==" workbookSaltValue="I/wbaWHbTto8r3H+GiZrPA==" workbookSpinCount="100000" lockStructure="1"/>
  <bookViews>
    <workbookView xWindow="0" yWindow="0" windowWidth="28800" windowHeight="12330" firstSheet="3" activeTab="1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1er Semestre" sheetId="13" r:id="rId7"/>
    <sheet name="Julio" sheetId="7" r:id="rId8"/>
    <sheet name="Agosto" sheetId="8" r:id="rId9"/>
    <sheet name="Septiembre" sheetId="9" r:id="rId10"/>
    <sheet name="Octubre" sheetId="10" r:id="rId11"/>
    <sheet name="Noviembre" sheetId="11" r:id="rId12"/>
    <sheet name="Diciembre" sheetId="12" r:id="rId13"/>
    <sheet name="2do Semestre " sheetId="14" r:id="rId14"/>
    <sheet name="Resumen Anual" sheetId="15" r:id="rId15"/>
  </sheets>
  <calcPr calcId="162913"/>
</workbook>
</file>

<file path=xl/calcChain.xml><?xml version="1.0" encoding="utf-8"?>
<calcChain xmlns="http://schemas.openxmlformats.org/spreadsheetml/2006/main">
  <c r="B101" i="15" l="1"/>
  <c r="C101" i="15"/>
  <c r="D101" i="15"/>
  <c r="E101" i="15"/>
  <c r="E109" i="15" s="1"/>
  <c r="F101" i="15"/>
  <c r="B102" i="15"/>
  <c r="B109" i="15" s="1"/>
  <c r="C102" i="15"/>
  <c r="D102" i="15"/>
  <c r="E102" i="15"/>
  <c r="F102" i="15"/>
  <c r="B103" i="15"/>
  <c r="C103" i="15"/>
  <c r="D103" i="15"/>
  <c r="E103" i="15"/>
  <c r="F103" i="15"/>
  <c r="B104" i="15"/>
  <c r="C104" i="15"/>
  <c r="D104" i="15"/>
  <c r="E104" i="15"/>
  <c r="F104" i="15"/>
  <c r="B105" i="15"/>
  <c r="C105" i="15"/>
  <c r="D105" i="15"/>
  <c r="E105" i="15"/>
  <c r="F105" i="15"/>
  <c r="B106" i="15"/>
  <c r="C106" i="15"/>
  <c r="D106" i="15"/>
  <c r="E106" i="15"/>
  <c r="F106" i="15"/>
  <c r="F109" i="15" s="1"/>
  <c r="B107" i="15"/>
  <c r="C107" i="15"/>
  <c r="D107" i="15"/>
  <c r="E107" i="15"/>
  <c r="F107" i="15"/>
  <c r="B108" i="15"/>
  <c r="C108" i="15"/>
  <c r="D108" i="15"/>
  <c r="D109" i="15" s="1"/>
  <c r="E108" i="15"/>
  <c r="F108" i="15"/>
  <c r="F100" i="15"/>
  <c r="C100" i="15"/>
  <c r="D100" i="15"/>
  <c r="E100" i="15"/>
  <c r="B100" i="15"/>
  <c r="F83" i="15"/>
  <c r="F84" i="15"/>
  <c r="F85" i="15"/>
  <c r="F86" i="15"/>
  <c r="F94" i="15" s="1"/>
  <c r="F87" i="15"/>
  <c r="F88" i="15"/>
  <c r="F89" i="15"/>
  <c r="F90" i="15"/>
  <c r="F91" i="15"/>
  <c r="F92" i="15"/>
  <c r="F93" i="15"/>
  <c r="F82" i="15"/>
  <c r="B67" i="15"/>
  <c r="C67" i="15"/>
  <c r="D67" i="15"/>
  <c r="E67" i="15"/>
  <c r="F67" i="15"/>
  <c r="B68" i="15"/>
  <c r="C68" i="15"/>
  <c r="D68" i="15"/>
  <c r="E68" i="15"/>
  <c r="F68" i="15"/>
  <c r="B69" i="15"/>
  <c r="C69" i="15"/>
  <c r="D69" i="15"/>
  <c r="E69" i="15"/>
  <c r="F69" i="15"/>
  <c r="B70" i="15"/>
  <c r="C70" i="15"/>
  <c r="D70" i="15"/>
  <c r="E70" i="15"/>
  <c r="F70" i="15"/>
  <c r="B71" i="15"/>
  <c r="C71" i="15"/>
  <c r="D71" i="15"/>
  <c r="E71" i="15"/>
  <c r="F71" i="15"/>
  <c r="B72" i="15"/>
  <c r="C72" i="15"/>
  <c r="D72" i="15"/>
  <c r="E72" i="15"/>
  <c r="F72" i="15"/>
  <c r="B73" i="15"/>
  <c r="C73" i="15"/>
  <c r="D73" i="15"/>
  <c r="E73" i="15"/>
  <c r="F73" i="15"/>
  <c r="B75" i="15"/>
  <c r="C75" i="15"/>
  <c r="D75" i="15"/>
  <c r="E75" i="15"/>
  <c r="F75" i="15"/>
  <c r="B76" i="15"/>
  <c r="C76" i="15"/>
  <c r="D76" i="15"/>
  <c r="E76" i="15"/>
  <c r="F76" i="15"/>
  <c r="C66" i="15"/>
  <c r="D66" i="15"/>
  <c r="E66" i="15"/>
  <c r="F66" i="15"/>
  <c r="B66" i="15"/>
  <c r="B59" i="15"/>
  <c r="C59" i="15"/>
  <c r="D59" i="15"/>
  <c r="E59" i="15"/>
  <c r="F59" i="15"/>
  <c r="B60" i="15"/>
  <c r="C60" i="15"/>
  <c r="D60" i="15"/>
  <c r="E60" i="15"/>
  <c r="F60" i="15"/>
  <c r="B61" i="15"/>
  <c r="C61" i="15"/>
  <c r="D61" i="15"/>
  <c r="E61" i="15"/>
  <c r="F61" i="15"/>
  <c r="B63" i="15"/>
  <c r="C63" i="15"/>
  <c r="D63" i="15"/>
  <c r="E63" i="15"/>
  <c r="F63" i="15"/>
  <c r="B64" i="15"/>
  <c r="C64" i="15"/>
  <c r="D64" i="15"/>
  <c r="E64" i="15"/>
  <c r="F64" i="15"/>
  <c r="C58" i="15"/>
  <c r="D58" i="15"/>
  <c r="E58" i="15"/>
  <c r="F58" i="15"/>
  <c r="B58" i="15"/>
  <c r="B55" i="15"/>
  <c r="C55" i="15"/>
  <c r="D55" i="15"/>
  <c r="E55" i="15"/>
  <c r="F55" i="15"/>
  <c r="B56" i="15"/>
  <c r="C56" i="15"/>
  <c r="D56" i="15"/>
  <c r="E56" i="15"/>
  <c r="F56" i="15"/>
  <c r="C53" i="15"/>
  <c r="D53" i="15"/>
  <c r="E53" i="15"/>
  <c r="F53" i="15"/>
  <c r="B53" i="15"/>
  <c r="B43" i="15"/>
  <c r="C43" i="15"/>
  <c r="D43" i="15"/>
  <c r="E43" i="15"/>
  <c r="F43" i="15"/>
  <c r="B44" i="15"/>
  <c r="C44" i="15"/>
  <c r="D44" i="15"/>
  <c r="E44" i="15"/>
  <c r="F44" i="15"/>
  <c r="B45" i="15"/>
  <c r="C45" i="15"/>
  <c r="D45" i="15"/>
  <c r="E45" i="15"/>
  <c r="F45" i="15"/>
  <c r="B46" i="15"/>
  <c r="C46" i="15"/>
  <c r="D46" i="15"/>
  <c r="E46" i="15"/>
  <c r="F46" i="15"/>
  <c r="B47" i="15"/>
  <c r="C47" i="15"/>
  <c r="D47" i="15"/>
  <c r="E47" i="15"/>
  <c r="F47" i="15"/>
  <c r="B48" i="15"/>
  <c r="C48" i="15"/>
  <c r="D48" i="15"/>
  <c r="E48" i="15"/>
  <c r="F48" i="15"/>
  <c r="B49" i="15"/>
  <c r="C49" i="15"/>
  <c r="D49" i="15"/>
  <c r="E49" i="15"/>
  <c r="F49" i="15"/>
  <c r="B50" i="15"/>
  <c r="C50" i="15"/>
  <c r="D50" i="15"/>
  <c r="E50" i="15"/>
  <c r="F50" i="15"/>
  <c r="B51" i="15"/>
  <c r="B86" i="15" s="1"/>
  <c r="C51" i="15"/>
  <c r="C78" i="15" s="1"/>
  <c r="D51" i="15"/>
  <c r="E51" i="15"/>
  <c r="E78" i="15" s="1"/>
  <c r="F51" i="15"/>
  <c r="C42" i="15"/>
  <c r="D42" i="15"/>
  <c r="E42" i="15"/>
  <c r="F42" i="15"/>
  <c r="B42" i="15"/>
  <c r="B31" i="15"/>
  <c r="C31" i="15"/>
  <c r="D31" i="15"/>
  <c r="E31" i="15"/>
  <c r="F31" i="15"/>
  <c r="B32" i="15"/>
  <c r="C32" i="15"/>
  <c r="D32" i="15"/>
  <c r="E32" i="15"/>
  <c r="F32" i="15"/>
  <c r="B33" i="15"/>
  <c r="C33" i="15"/>
  <c r="D33" i="15"/>
  <c r="E33" i="15"/>
  <c r="F33" i="15"/>
  <c r="B34" i="15"/>
  <c r="C34" i="15"/>
  <c r="D34" i="15"/>
  <c r="E34" i="15"/>
  <c r="F34" i="15"/>
  <c r="B35" i="15"/>
  <c r="C35" i="15"/>
  <c r="D35" i="15"/>
  <c r="E35" i="15"/>
  <c r="F35" i="15"/>
  <c r="B36" i="15"/>
  <c r="C36" i="15"/>
  <c r="D36" i="15"/>
  <c r="E36" i="15"/>
  <c r="F36" i="15"/>
  <c r="B37" i="15"/>
  <c r="C37" i="15"/>
  <c r="D37" i="15"/>
  <c r="E37" i="15"/>
  <c r="F37" i="15"/>
  <c r="B38" i="15"/>
  <c r="C38" i="15"/>
  <c r="D38" i="15"/>
  <c r="E38" i="15"/>
  <c r="F38" i="15"/>
  <c r="B39" i="15"/>
  <c r="C39" i="15"/>
  <c r="D39" i="15"/>
  <c r="E39" i="15"/>
  <c r="F39" i="15"/>
  <c r="B40" i="15"/>
  <c r="C40" i="15"/>
  <c r="D40" i="15"/>
  <c r="E40" i="15"/>
  <c r="F40" i="15"/>
  <c r="C30" i="15"/>
  <c r="D30" i="15"/>
  <c r="E30" i="15"/>
  <c r="F30" i="15"/>
  <c r="B30" i="15"/>
  <c r="B4" i="15"/>
  <c r="C4" i="15"/>
  <c r="B91" i="15" s="1"/>
  <c r="D4" i="15"/>
  <c r="E4" i="15"/>
  <c r="F4" i="15"/>
  <c r="B5" i="15"/>
  <c r="C5" i="15"/>
  <c r="D5" i="15"/>
  <c r="E5" i="15"/>
  <c r="F5" i="15"/>
  <c r="B6" i="15"/>
  <c r="C6" i="15"/>
  <c r="D6" i="15"/>
  <c r="E6" i="15"/>
  <c r="F6" i="15"/>
  <c r="B7" i="15"/>
  <c r="C7" i="15"/>
  <c r="D7" i="15"/>
  <c r="E7" i="15"/>
  <c r="F7" i="15"/>
  <c r="B8" i="15"/>
  <c r="C8" i="15"/>
  <c r="D8" i="15"/>
  <c r="E8" i="15"/>
  <c r="F8" i="15"/>
  <c r="B9" i="15"/>
  <c r="C9" i="15"/>
  <c r="D9" i="15"/>
  <c r="E9" i="15"/>
  <c r="F9" i="15"/>
  <c r="B10" i="15"/>
  <c r="C10" i="15"/>
  <c r="D10" i="15"/>
  <c r="E10" i="15"/>
  <c r="F10" i="15"/>
  <c r="B11" i="15"/>
  <c r="C11" i="15"/>
  <c r="D11" i="15"/>
  <c r="E11" i="15"/>
  <c r="F11" i="15"/>
  <c r="B12" i="15"/>
  <c r="C12" i="15"/>
  <c r="D12" i="15"/>
  <c r="E12" i="15"/>
  <c r="F12" i="15"/>
  <c r="B13" i="15"/>
  <c r="C13" i="15"/>
  <c r="D13" i="15"/>
  <c r="E13" i="15"/>
  <c r="F13" i="15"/>
  <c r="B14" i="15"/>
  <c r="C14" i="15"/>
  <c r="D14" i="15"/>
  <c r="E14" i="15"/>
  <c r="F14" i="15"/>
  <c r="B15" i="15"/>
  <c r="C15" i="15"/>
  <c r="D15" i="15"/>
  <c r="E15" i="15"/>
  <c r="F15" i="15"/>
  <c r="B16" i="15"/>
  <c r="C16" i="15"/>
  <c r="D16" i="15"/>
  <c r="E16" i="15"/>
  <c r="F16" i="15"/>
  <c r="B17" i="15"/>
  <c r="C17" i="15"/>
  <c r="D17" i="15"/>
  <c r="E17" i="15"/>
  <c r="F17" i="15"/>
  <c r="B18" i="15"/>
  <c r="C18" i="15"/>
  <c r="D18" i="15"/>
  <c r="E18" i="15"/>
  <c r="F18" i="15"/>
  <c r="B19" i="15"/>
  <c r="C19" i="15"/>
  <c r="D19" i="15"/>
  <c r="E19" i="15"/>
  <c r="F19" i="15"/>
  <c r="B20" i="15"/>
  <c r="C20" i="15"/>
  <c r="D20" i="15"/>
  <c r="E20" i="15"/>
  <c r="F20" i="15"/>
  <c r="B21" i="15"/>
  <c r="C21" i="15"/>
  <c r="D21" i="15"/>
  <c r="E21" i="15"/>
  <c r="F21" i="15"/>
  <c r="B22" i="15"/>
  <c r="C22" i="15"/>
  <c r="D22" i="15"/>
  <c r="E22" i="15"/>
  <c r="F22" i="15"/>
  <c r="B23" i="15"/>
  <c r="C23" i="15"/>
  <c r="D23" i="15"/>
  <c r="E23" i="15"/>
  <c r="F23" i="15"/>
  <c r="B24" i="15"/>
  <c r="C24" i="15"/>
  <c r="D24" i="15"/>
  <c r="E24" i="15"/>
  <c r="F24" i="15"/>
  <c r="B25" i="15"/>
  <c r="C25" i="15"/>
  <c r="D25" i="15"/>
  <c r="E25" i="15"/>
  <c r="F25" i="15"/>
  <c r="B26" i="15"/>
  <c r="C26" i="15"/>
  <c r="D26" i="15"/>
  <c r="E26" i="15"/>
  <c r="F26" i="15"/>
  <c r="B27" i="15"/>
  <c r="C27" i="15"/>
  <c r="D27" i="15"/>
  <c r="E27" i="15"/>
  <c r="F27" i="15"/>
  <c r="B28" i="15"/>
  <c r="C28" i="15"/>
  <c r="D28" i="15"/>
  <c r="E28" i="15"/>
  <c r="F28" i="15"/>
  <c r="C3" i="15"/>
  <c r="D3" i="15"/>
  <c r="E3" i="15"/>
  <c r="F3" i="15"/>
  <c r="B3" i="15"/>
  <c r="A110" i="15"/>
  <c r="A109" i="15"/>
  <c r="A108" i="15"/>
  <c r="A107" i="15"/>
  <c r="A106" i="15"/>
  <c r="A105" i="15"/>
  <c r="A104" i="15"/>
  <c r="A103" i="15"/>
  <c r="A102" i="15"/>
  <c r="C109" i="15"/>
  <c r="A101" i="15"/>
  <c r="A100" i="15"/>
  <c r="D94" i="15"/>
  <c r="A94" i="15"/>
  <c r="D93" i="15"/>
  <c r="A93" i="15"/>
  <c r="D92" i="15"/>
  <c r="A92" i="15"/>
  <c r="D91" i="15"/>
  <c r="A91" i="15"/>
  <c r="D90" i="15"/>
  <c r="D89" i="15"/>
  <c r="D88" i="15"/>
  <c r="D87" i="15"/>
  <c r="D86" i="15"/>
  <c r="D85" i="15"/>
  <c r="D84" i="15"/>
  <c r="D83" i="15"/>
  <c r="D82" i="15"/>
  <c r="B87" i="15"/>
  <c r="A76" i="15"/>
  <c r="A75" i="15"/>
  <c r="A73" i="15"/>
  <c r="B94" i="15"/>
  <c r="A72" i="15"/>
  <c r="A71" i="15"/>
  <c r="A70" i="15"/>
  <c r="A69" i="15"/>
  <c r="A68" i="15"/>
  <c r="A67" i="15"/>
  <c r="A66" i="15"/>
  <c r="B85" i="15"/>
  <c r="A64" i="15"/>
  <c r="A63" i="15"/>
  <c r="A61" i="15"/>
  <c r="A60" i="15"/>
  <c r="A59" i="15"/>
  <c r="A58" i="15"/>
  <c r="B84" i="15"/>
  <c r="A56" i="15"/>
  <c r="A55" i="15"/>
  <c r="A53" i="15"/>
  <c r="A51" i="15"/>
  <c r="A50" i="15"/>
  <c r="A48" i="15"/>
  <c r="A47" i="15"/>
  <c r="A46" i="15"/>
  <c r="A45" i="15"/>
  <c r="A44" i="15"/>
  <c r="A43" i="15"/>
  <c r="A42" i="15"/>
  <c r="B83" i="15"/>
  <c r="A40" i="15"/>
  <c r="A39" i="15"/>
  <c r="A37" i="15"/>
  <c r="A36" i="15"/>
  <c r="A35" i="15"/>
  <c r="A34" i="15"/>
  <c r="A33" i="15"/>
  <c r="A32" i="15"/>
  <c r="A31" i="15"/>
  <c r="A30" i="15"/>
  <c r="B82" i="15"/>
  <c r="A28" i="15"/>
  <c r="A27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B92" i="15"/>
  <c r="A8" i="15"/>
  <c r="A7" i="15"/>
  <c r="A6" i="15"/>
  <c r="A5" i="15"/>
  <c r="A4" i="15"/>
  <c r="A3" i="15"/>
  <c r="F101" i="14"/>
  <c r="F102" i="14"/>
  <c r="F103" i="14"/>
  <c r="F104" i="14"/>
  <c r="F105" i="14"/>
  <c r="F106" i="14"/>
  <c r="F107" i="14"/>
  <c r="F108" i="14"/>
  <c r="F100" i="14"/>
  <c r="B101" i="14"/>
  <c r="C101" i="14"/>
  <c r="D101" i="14"/>
  <c r="E101" i="14"/>
  <c r="B102" i="14"/>
  <c r="C102" i="14"/>
  <c r="D102" i="14"/>
  <c r="E102" i="14"/>
  <c r="B103" i="14"/>
  <c r="C103" i="14"/>
  <c r="D103" i="14"/>
  <c r="E103" i="14"/>
  <c r="B104" i="14"/>
  <c r="C104" i="14"/>
  <c r="D104" i="14"/>
  <c r="E104" i="14"/>
  <c r="B105" i="14"/>
  <c r="C105" i="14"/>
  <c r="D105" i="14"/>
  <c r="E105" i="14"/>
  <c r="B106" i="14"/>
  <c r="C106" i="14"/>
  <c r="D106" i="14"/>
  <c r="E106" i="14"/>
  <c r="B107" i="14"/>
  <c r="C107" i="14"/>
  <c r="D107" i="14"/>
  <c r="E107" i="14"/>
  <c r="B108" i="14"/>
  <c r="C108" i="14"/>
  <c r="D108" i="14"/>
  <c r="E108" i="14"/>
  <c r="C100" i="14"/>
  <c r="D100" i="14"/>
  <c r="E100" i="14"/>
  <c r="B100" i="14"/>
  <c r="F103" i="11"/>
  <c r="E109" i="11"/>
  <c r="D109" i="11"/>
  <c r="C109" i="11"/>
  <c r="B109" i="11"/>
  <c r="B110" i="11" s="1"/>
  <c r="F108" i="11"/>
  <c r="F107" i="11"/>
  <c r="F106" i="11"/>
  <c r="F105" i="11"/>
  <c r="F104" i="11"/>
  <c r="F102" i="11"/>
  <c r="F101" i="11"/>
  <c r="F100" i="11"/>
  <c r="F109" i="11" s="1"/>
  <c r="F83" i="14"/>
  <c r="F84" i="14"/>
  <c r="F85" i="14"/>
  <c r="F86" i="14"/>
  <c r="F87" i="14"/>
  <c r="F88" i="14"/>
  <c r="F89" i="14"/>
  <c r="F90" i="14"/>
  <c r="F91" i="14"/>
  <c r="F92" i="14"/>
  <c r="F93" i="14"/>
  <c r="F82" i="14"/>
  <c r="B4" i="14"/>
  <c r="C4" i="14"/>
  <c r="D4" i="14"/>
  <c r="E4" i="14"/>
  <c r="F4" i="14"/>
  <c r="B5" i="14"/>
  <c r="C5" i="14"/>
  <c r="D5" i="14"/>
  <c r="E5" i="14"/>
  <c r="F5" i="14"/>
  <c r="B6" i="14"/>
  <c r="C6" i="14"/>
  <c r="D6" i="14"/>
  <c r="E6" i="14"/>
  <c r="F6" i="14"/>
  <c r="B7" i="14"/>
  <c r="C7" i="14"/>
  <c r="D7" i="14"/>
  <c r="E7" i="14"/>
  <c r="F7" i="14"/>
  <c r="B8" i="14"/>
  <c r="C8" i="14"/>
  <c r="D8" i="14"/>
  <c r="E8" i="14"/>
  <c r="F8" i="14"/>
  <c r="B9" i="14"/>
  <c r="C9" i="14"/>
  <c r="D9" i="14"/>
  <c r="E9" i="14"/>
  <c r="F9" i="14"/>
  <c r="B10" i="14"/>
  <c r="C10" i="14"/>
  <c r="D10" i="14"/>
  <c r="E10" i="14"/>
  <c r="F10" i="14"/>
  <c r="B11" i="14"/>
  <c r="C11" i="14"/>
  <c r="D11" i="14"/>
  <c r="E11" i="14"/>
  <c r="F11" i="14"/>
  <c r="B12" i="14"/>
  <c r="C12" i="14"/>
  <c r="D12" i="14"/>
  <c r="E12" i="14"/>
  <c r="F12" i="14"/>
  <c r="B13" i="14"/>
  <c r="C13" i="14"/>
  <c r="D13" i="14"/>
  <c r="E13" i="14"/>
  <c r="F13" i="14"/>
  <c r="B14" i="14"/>
  <c r="C14" i="14"/>
  <c r="D14" i="14"/>
  <c r="E14" i="14"/>
  <c r="F14" i="14"/>
  <c r="B15" i="14"/>
  <c r="C15" i="14"/>
  <c r="D15" i="14"/>
  <c r="E15" i="14"/>
  <c r="F15" i="14"/>
  <c r="B16" i="14"/>
  <c r="C16" i="14"/>
  <c r="D16" i="14"/>
  <c r="E16" i="14"/>
  <c r="F16" i="14"/>
  <c r="B17" i="14"/>
  <c r="C17" i="14"/>
  <c r="D17" i="14"/>
  <c r="E17" i="14"/>
  <c r="F17" i="14"/>
  <c r="B18" i="14"/>
  <c r="C18" i="14"/>
  <c r="D18" i="14"/>
  <c r="E18" i="14"/>
  <c r="F18" i="14"/>
  <c r="B19" i="14"/>
  <c r="C19" i="14"/>
  <c r="D19" i="14"/>
  <c r="E19" i="14"/>
  <c r="F19" i="14"/>
  <c r="B20" i="14"/>
  <c r="C20" i="14"/>
  <c r="D20" i="14"/>
  <c r="E20" i="14"/>
  <c r="F20" i="14"/>
  <c r="B21" i="14"/>
  <c r="C21" i="14"/>
  <c r="D21" i="14"/>
  <c r="E21" i="14"/>
  <c r="F21" i="14"/>
  <c r="B22" i="14"/>
  <c r="C22" i="14"/>
  <c r="D22" i="14"/>
  <c r="E22" i="14"/>
  <c r="F22" i="14"/>
  <c r="B23" i="14"/>
  <c r="C23" i="14"/>
  <c r="D23" i="14"/>
  <c r="E23" i="14"/>
  <c r="F23" i="14"/>
  <c r="B24" i="14"/>
  <c r="C24" i="14"/>
  <c r="D24" i="14"/>
  <c r="E24" i="14"/>
  <c r="F24" i="14"/>
  <c r="B25" i="14"/>
  <c r="C25" i="14"/>
  <c r="D25" i="14"/>
  <c r="E25" i="14"/>
  <c r="F25" i="14"/>
  <c r="B27" i="14"/>
  <c r="C27" i="14"/>
  <c r="D27" i="14"/>
  <c r="E27" i="14"/>
  <c r="F27" i="14"/>
  <c r="B28" i="14"/>
  <c r="C28" i="14"/>
  <c r="D28" i="14"/>
  <c r="E28" i="14"/>
  <c r="F28" i="14"/>
  <c r="C3" i="14"/>
  <c r="D3" i="14"/>
  <c r="E3" i="14"/>
  <c r="F3" i="14"/>
  <c r="B42" i="14"/>
  <c r="B67" i="14"/>
  <c r="C67" i="14"/>
  <c r="D67" i="14"/>
  <c r="E67" i="14"/>
  <c r="F67" i="14"/>
  <c r="B68" i="14"/>
  <c r="C68" i="14"/>
  <c r="D68" i="14"/>
  <c r="E68" i="14"/>
  <c r="F68" i="14"/>
  <c r="B69" i="14"/>
  <c r="C69" i="14"/>
  <c r="D69" i="14"/>
  <c r="E69" i="14"/>
  <c r="F69" i="14"/>
  <c r="B70" i="14"/>
  <c r="C70" i="14"/>
  <c r="D70" i="14"/>
  <c r="E70" i="14"/>
  <c r="F70" i="14"/>
  <c r="B71" i="14"/>
  <c r="C71" i="14"/>
  <c r="D71" i="14"/>
  <c r="E71" i="14"/>
  <c r="F71" i="14"/>
  <c r="B72" i="14"/>
  <c r="C72" i="14"/>
  <c r="D72" i="14"/>
  <c r="E72" i="14"/>
  <c r="F72" i="14"/>
  <c r="B73" i="14"/>
  <c r="C73" i="14"/>
  <c r="D73" i="14"/>
  <c r="E73" i="14"/>
  <c r="F73" i="14"/>
  <c r="B75" i="14"/>
  <c r="C75" i="14"/>
  <c r="D75" i="14"/>
  <c r="E75" i="14"/>
  <c r="F75" i="14"/>
  <c r="C66" i="14"/>
  <c r="D66" i="14"/>
  <c r="E66" i="14"/>
  <c r="F66" i="14"/>
  <c r="B66" i="14"/>
  <c r="B59" i="14"/>
  <c r="C59" i="14"/>
  <c r="D59" i="14"/>
  <c r="E59" i="14"/>
  <c r="F59" i="14"/>
  <c r="B60" i="14"/>
  <c r="C60" i="14"/>
  <c r="D60" i="14"/>
  <c r="E60" i="14"/>
  <c r="F60" i="14"/>
  <c r="B61" i="14"/>
  <c r="C61" i="14"/>
  <c r="D61" i="14"/>
  <c r="E61" i="14"/>
  <c r="F61" i="14"/>
  <c r="B63" i="14"/>
  <c r="C63" i="14"/>
  <c r="D63" i="14"/>
  <c r="E63" i="14"/>
  <c r="F63" i="14"/>
  <c r="C58" i="14"/>
  <c r="D58" i="14"/>
  <c r="E58" i="14"/>
  <c r="F58" i="14"/>
  <c r="B58" i="14"/>
  <c r="B55" i="14"/>
  <c r="C55" i="14"/>
  <c r="D55" i="14"/>
  <c r="E55" i="14"/>
  <c r="F55" i="14"/>
  <c r="C53" i="14"/>
  <c r="D53" i="14"/>
  <c r="E53" i="14"/>
  <c r="F53" i="14"/>
  <c r="B53" i="14"/>
  <c r="B43" i="14"/>
  <c r="C43" i="14"/>
  <c r="D43" i="14"/>
  <c r="E43" i="14"/>
  <c r="F43" i="14"/>
  <c r="B44" i="14"/>
  <c r="C44" i="14"/>
  <c r="D44" i="14"/>
  <c r="E44" i="14"/>
  <c r="F44" i="14"/>
  <c r="B45" i="14"/>
  <c r="C45" i="14"/>
  <c r="D45" i="14"/>
  <c r="E45" i="14"/>
  <c r="F45" i="14"/>
  <c r="B46" i="14"/>
  <c r="C46" i="14"/>
  <c r="D46" i="14"/>
  <c r="E46" i="14"/>
  <c r="F46" i="14"/>
  <c r="B47" i="14"/>
  <c r="C47" i="14"/>
  <c r="D47" i="14"/>
  <c r="E47" i="14"/>
  <c r="F47" i="14"/>
  <c r="B48" i="14"/>
  <c r="C48" i="14"/>
  <c r="D48" i="14"/>
  <c r="E48" i="14"/>
  <c r="F48" i="14"/>
  <c r="B50" i="14"/>
  <c r="C50" i="14"/>
  <c r="D50" i="14"/>
  <c r="E50" i="14"/>
  <c r="F50" i="14"/>
  <c r="C42" i="14"/>
  <c r="D42" i="14"/>
  <c r="E42" i="14"/>
  <c r="F42" i="14"/>
  <c r="B31" i="14"/>
  <c r="C31" i="14"/>
  <c r="D31" i="14"/>
  <c r="E31" i="14"/>
  <c r="F31" i="14"/>
  <c r="B32" i="14"/>
  <c r="C32" i="14"/>
  <c r="D32" i="14"/>
  <c r="E32" i="14"/>
  <c r="F32" i="14"/>
  <c r="B33" i="14"/>
  <c r="C33" i="14"/>
  <c r="D33" i="14"/>
  <c r="E33" i="14"/>
  <c r="F33" i="14"/>
  <c r="B34" i="14"/>
  <c r="C34" i="14"/>
  <c r="D34" i="14"/>
  <c r="E34" i="14"/>
  <c r="F34" i="14"/>
  <c r="B35" i="14"/>
  <c r="C35" i="14"/>
  <c r="D35" i="14"/>
  <c r="E35" i="14"/>
  <c r="F35" i="14"/>
  <c r="C36" i="14"/>
  <c r="D36" i="14"/>
  <c r="E36" i="14"/>
  <c r="F36" i="14"/>
  <c r="B37" i="14"/>
  <c r="C37" i="14"/>
  <c r="D37" i="14"/>
  <c r="E37" i="14"/>
  <c r="F37" i="14"/>
  <c r="B39" i="14"/>
  <c r="C39" i="14"/>
  <c r="D39" i="14"/>
  <c r="E39" i="14"/>
  <c r="F39" i="14"/>
  <c r="C30" i="14"/>
  <c r="D30" i="14"/>
  <c r="E30" i="14"/>
  <c r="F30" i="14"/>
  <c r="B30" i="14"/>
  <c r="B91" i="14"/>
  <c r="A110" i="14"/>
  <c r="A109" i="14"/>
  <c r="A108" i="14"/>
  <c r="A107" i="14"/>
  <c r="A106" i="14"/>
  <c r="A105" i="14"/>
  <c r="A104" i="14"/>
  <c r="A103" i="14"/>
  <c r="A102" i="14"/>
  <c r="A101" i="14"/>
  <c r="B109" i="14"/>
  <c r="A100" i="14"/>
  <c r="D94" i="14"/>
  <c r="A94" i="14"/>
  <c r="D93" i="14"/>
  <c r="A93" i="14"/>
  <c r="D92" i="14"/>
  <c r="A92" i="14"/>
  <c r="D91" i="14"/>
  <c r="A91" i="14"/>
  <c r="D90" i="14"/>
  <c r="D89" i="14"/>
  <c r="D88" i="14"/>
  <c r="D87" i="14"/>
  <c r="D86" i="14"/>
  <c r="D85" i="14"/>
  <c r="F94" i="14"/>
  <c r="D84" i="14"/>
  <c r="D83" i="14"/>
  <c r="D82" i="14"/>
  <c r="A76" i="14"/>
  <c r="A75" i="14"/>
  <c r="A73" i="14"/>
  <c r="B94" i="14"/>
  <c r="A72" i="14"/>
  <c r="A71" i="14"/>
  <c r="A70" i="14"/>
  <c r="A69" i="14"/>
  <c r="A68" i="14"/>
  <c r="A67" i="14"/>
  <c r="A66" i="14"/>
  <c r="A64" i="14"/>
  <c r="A63" i="14"/>
  <c r="A61" i="14"/>
  <c r="A60" i="14"/>
  <c r="A59" i="14"/>
  <c r="A58" i="14"/>
  <c r="A56" i="14"/>
  <c r="A55" i="14"/>
  <c r="A53" i="14"/>
  <c r="A51" i="14"/>
  <c r="A50" i="14"/>
  <c r="A48" i="14"/>
  <c r="A47" i="14"/>
  <c r="A46" i="14"/>
  <c r="A45" i="14"/>
  <c r="A44" i="14"/>
  <c r="A43" i="14"/>
  <c r="A42" i="14"/>
  <c r="A40" i="14"/>
  <c r="A39" i="14"/>
  <c r="A37" i="14"/>
  <c r="A36" i="14"/>
  <c r="A35" i="14"/>
  <c r="A34" i="14"/>
  <c r="A33" i="14"/>
  <c r="A32" i="14"/>
  <c r="A31" i="14"/>
  <c r="A30" i="14"/>
  <c r="B82" i="14"/>
  <c r="A28" i="14"/>
  <c r="A27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B92" i="14"/>
  <c r="A8" i="14"/>
  <c r="A7" i="14"/>
  <c r="A6" i="14"/>
  <c r="A5" i="14"/>
  <c r="A4" i="14"/>
  <c r="A3" i="14"/>
  <c r="B94" i="12"/>
  <c r="B92" i="12"/>
  <c r="B91" i="12"/>
  <c r="C75" i="12"/>
  <c r="C7" i="12"/>
  <c r="B36" i="12"/>
  <c r="B36" i="14" s="1"/>
  <c r="C27" i="12"/>
  <c r="C19" i="12"/>
  <c r="B3" i="12"/>
  <c r="B3" i="14" s="1"/>
  <c r="B95" i="10"/>
  <c r="B95" i="11"/>
  <c r="B94" i="11"/>
  <c r="B93" i="11"/>
  <c r="B92" i="11"/>
  <c r="B91" i="11"/>
  <c r="B94" i="10"/>
  <c r="B93" i="10"/>
  <c r="B92" i="10"/>
  <c r="B91" i="10"/>
  <c r="C27" i="10"/>
  <c r="B3" i="10"/>
  <c r="B94" i="9"/>
  <c r="B92" i="9"/>
  <c r="B91" i="9"/>
  <c r="B36" i="9"/>
  <c r="C27" i="9"/>
  <c r="C23" i="9"/>
  <c r="B3" i="9"/>
  <c r="B95" i="8"/>
  <c r="B94" i="8"/>
  <c r="B93" i="8"/>
  <c r="B92" i="8"/>
  <c r="B91" i="8"/>
  <c r="C75" i="8"/>
  <c r="C23" i="8"/>
  <c r="B36" i="8"/>
  <c r="C27" i="8"/>
  <c r="C19" i="8"/>
  <c r="C20" i="8"/>
  <c r="B3" i="8"/>
  <c r="B94" i="7"/>
  <c r="B92" i="7"/>
  <c r="B91" i="7"/>
  <c r="C75" i="7"/>
  <c r="C35" i="7"/>
  <c r="B36" i="7"/>
  <c r="C27" i="7"/>
  <c r="C15" i="7"/>
  <c r="C23" i="7"/>
  <c r="C14" i="7"/>
  <c r="C8" i="7"/>
  <c r="B3" i="7"/>
  <c r="B55" i="13"/>
  <c r="C55" i="13"/>
  <c r="D55" i="13"/>
  <c r="E55" i="13"/>
  <c r="F55" i="13"/>
  <c r="B88" i="13"/>
  <c r="B87" i="13"/>
  <c r="B86" i="13"/>
  <c r="B85" i="13"/>
  <c r="B84" i="13"/>
  <c r="B83" i="13"/>
  <c r="B82" i="13"/>
  <c r="B95" i="13"/>
  <c r="B94" i="13"/>
  <c r="B93" i="13"/>
  <c r="B92" i="13"/>
  <c r="B91" i="13"/>
  <c r="F103" i="6"/>
  <c r="F102" i="5"/>
  <c r="F102" i="4"/>
  <c r="F109" i="4" s="1"/>
  <c r="F103" i="3"/>
  <c r="F103" i="13"/>
  <c r="F102" i="2"/>
  <c r="F103" i="1"/>
  <c r="F101" i="13"/>
  <c r="F104" i="13"/>
  <c r="F105" i="13"/>
  <c r="F106" i="13"/>
  <c r="F107" i="13"/>
  <c r="F108" i="13"/>
  <c r="F100" i="13"/>
  <c r="F109" i="1"/>
  <c r="F109" i="2"/>
  <c r="F109" i="5"/>
  <c r="F109" i="6"/>
  <c r="B67" i="13"/>
  <c r="C67" i="13"/>
  <c r="D67" i="13"/>
  <c r="E67" i="13"/>
  <c r="F67" i="13"/>
  <c r="B68" i="13"/>
  <c r="C68" i="13"/>
  <c r="D68" i="13"/>
  <c r="E68" i="13"/>
  <c r="F68" i="13"/>
  <c r="B69" i="13"/>
  <c r="C69" i="13"/>
  <c r="D69" i="13"/>
  <c r="E69" i="13"/>
  <c r="F69" i="13"/>
  <c r="B70" i="13"/>
  <c r="C70" i="13"/>
  <c r="D70" i="13"/>
  <c r="E70" i="13"/>
  <c r="F70" i="13"/>
  <c r="B71" i="13"/>
  <c r="C71" i="13"/>
  <c r="D71" i="13"/>
  <c r="E71" i="13"/>
  <c r="F71" i="13"/>
  <c r="B72" i="13"/>
  <c r="C72" i="13"/>
  <c r="D72" i="13"/>
  <c r="E72" i="13"/>
  <c r="F72" i="13"/>
  <c r="B73" i="13"/>
  <c r="C73" i="13"/>
  <c r="D73" i="13"/>
  <c r="E73" i="13"/>
  <c r="F73" i="13"/>
  <c r="B75" i="13"/>
  <c r="C75" i="13"/>
  <c r="D75" i="13"/>
  <c r="E75" i="13"/>
  <c r="F75" i="13"/>
  <c r="B76" i="13"/>
  <c r="C76" i="13"/>
  <c r="D76" i="13"/>
  <c r="E76" i="13"/>
  <c r="F76" i="13"/>
  <c r="C66" i="13"/>
  <c r="D66" i="13"/>
  <c r="E66" i="13"/>
  <c r="F66" i="13"/>
  <c r="B59" i="13"/>
  <c r="C59" i="13"/>
  <c r="D59" i="13"/>
  <c r="E59" i="13"/>
  <c r="F59" i="13"/>
  <c r="B60" i="13"/>
  <c r="C60" i="13"/>
  <c r="D60" i="13"/>
  <c r="E60" i="13"/>
  <c r="F60" i="13"/>
  <c r="B61" i="13"/>
  <c r="C61" i="13"/>
  <c r="D61" i="13"/>
  <c r="E61" i="13"/>
  <c r="F61" i="13"/>
  <c r="B63" i="13"/>
  <c r="C63" i="13"/>
  <c r="D63" i="13"/>
  <c r="E63" i="13"/>
  <c r="F63" i="13"/>
  <c r="B64" i="13"/>
  <c r="C64" i="13"/>
  <c r="D64" i="13"/>
  <c r="E64" i="13"/>
  <c r="F64" i="13"/>
  <c r="C58" i="13"/>
  <c r="D58" i="13"/>
  <c r="E58" i="13"/>
  <c r="F58" i="13"/>
  <c r="B56" i="13"/>
  <c r="C56" i="13"/>
  <c r="D56" i="13"/>
  <c r="E56" i="13"/>
  <c r="F56" i="13"/>
  <c r="C53" i="13"/>
  <c r="D53" i="13"/>
  <c r="E53" i="13"/>
  <c r="F53" i="13"/>
  <c r="B51" i="13"/>
  <c r="C51" i="13"/>
  <c r="D51" i="13"/>
  <c r="E51" i="13"/>
  <c r="F51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B48" i="13"/>
  <c r="C48" i="13"/>
  <c r="D48" i="13"/>
  <c r="E48" i="13"/>
  <c r="F48" i="13"/>
  <c r="B50" i="13"/>
  <c r="C50" i="13"/>
  <c r="D50" i="13"/>
  <c r="E50" i="13"/>
  <c r="F50" i="13"/>
  <c r="C42" i="13"/>
  <c r="D42" i="13"/>
  <c r="E42" i="13"/>
  <c r="F42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9" i="13"/>
  <c r="C39" i="13"/>
  <c r="D39" i="13"/>
  <c r="E39" i="13"/>
  <c r="F39" i="13"/>
  <c r="B40" i="13"/>
  <c r="C40" i="13"/>
  <c r="D40" i="13"/>
  <c r="E40" i="13"/>
  <c r="F40" i="13"/>
  <c r="C30" i="13"/>
  <c r="D30" i="13"/>
  <c r="E30" i="13"/>
  <c r="F30" i="13"/>
  <c r="B4" i="13"/>
  <c r="C4" i="13"/>
  <c r="D4" i="13"/>
  <c r="E4" i="13"/>
  <c r="F4" i="13"/>
  <c r="B5" i="13"/>
  <c r="C5" i="13"/>
  <c r="D5" i="13"/>
  <c r="E5" i="13"/>
  <c r="F5" i="13"/>
  <c r="B6" i="13"/>
  <c r="C6" i="13"/>
  <c r="D6" i="13"/>
  <c r="E6" i="13"/>
  <c r="F6" i="13"/>
  <c r="B7" i="13"/>
  <c r="C7" i="13"/>
  <c r="D7" i="13"/>
  <c r="E7" i="13"/>
  <c r="F7" i="13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C3" i="13"/>
  <c r="D3" i="13"/>
  <c r="E3" i="13"/>
  <c r="F3" i="13"/>
  <c r="B101" i="13"/>
  <c r="C101" i="13"/>
  <c r="D101" i="13"/>
  <c r="E101" i="13"/>
  <c r="B102" i="13"/>
  <c r="C102" i="13"/>
  <c r="D102" i="13"/>
  <c r="E102" i="13"/>
  <c r="B103" i="13"/>
  <c r="C103" i="13"/>
  <c r="D103" i="13"/>
  <c r="E103" i="13"/>
  <c r="B104" i="13"/>
  <c r="C104" i="13"/>
  <c r="D104" i="13"/>
  <c r="E104" i="13"/>
  <c r="B105" i="13"/>
  <c r="C105" i="13"/>
  <c r="D105" i="13"/>
  <c r="E105" i="13"/>
  <c r="B106" i="13"/>
  <c r="C106" i="13"/>
  <c r="D106" i="13"/>
  <c r="E106" i="13"/>
  <c r="B107" i="13"/>
  <c r="C107" i="13"/>
  <c r="D107" i="13"/>
  <c r="E107" i="13"/>
  <c r="B108" i="13"/>
  <c r="C108" i="13"/>
  <c r="D108" i="13"/>
  <c r="E108" i="13"/>
  <c r="C100" i="13"/>
  <c r="D100" i="13"/>
  <c r="E100" i="13"/>
  <c r="B100" i="13"/>
  <c r="A101" i="13"/>
  <c r="A102" i="13"/>
  <c r="A103" i="13"/>
  <c r="A104" i="13"/>
  <c r="A105" i="13"/>
  <c r="A106" i="13"/>
  <c r="A107" i="13"/>
  <c r="A108" i="13"/>
  <c r="A109" i="13"/>
  <c r="A110" i="13"/>
  <c r="A100" i="13"/>
  <c r="F83" i="13"/>
  <c r="F84" i="13"/>
  <c r="F85" i="13"/>
  <c r="F86" i="13"/>
  <c r="F87" i="13"/>
  <c r="F88" i="13"/>
  <c r="F89" i="13"/>
  <c r="F90" i="13"/>
  <c r="F91" i="13"/>
  <c r="F92" i="13"/>
  <c r="F93" i="13"/>
  <c r="F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82" i="13"/>
  <c r="A92" i="13"/>
  <c r="A93" i="13"/>
  <c r="A94" i="13"/>
  <c r="A91" i="13"/>
  <c r="B66" i="13"/>
  <c r="A67" i="13"/>
  <c r="A68" i="13"/>
  <c r="A69" i="13"/>
  <c r="A70" i="13"/>
  <c r="A71" i="13"/>
  <c r="A72" i="13"/>
  <c r="A73" i="13"/>
  <c r="A75" i="13"/>
  <c r="A76" i="13"/>
  <c r="A66" i="13"/>
  <c r="B58" i="13"/>
  <c r="A59" i="13"/>
  <c r="A60" i="13"/>
  <c r="A61" i="13"/>
  <c r="A63" i="13"/>
  <c r="A64" i="13"/>
  <c r="A58" i="13"/>
  <c r="B53" i="13"/>
  <c r="A55" i="13"/>
  <c r="A56" i="13"/>
  <c r="A53" i="13"/>
  <c r="B42" i="13"/>
  <c r="A43" i="13"/>
  <c r="A44" i="13"/>
  <c r="A45" i="13"/>
  <c r="A46" i="13"/>
  <c r="A47" i="13"/>
  <c r="A48" i="13"/>
  <c r="A50" i="13"/>
  <c r="A51" i="13"/>
  <c r="A42" i="13"/>
  <c r="B30" i="13"/>
  <c r="A31" i="13"/>
  <c r="A32" i="13"/>
  <c r="A33" i="13"/>
  <c r="A34" i="13"/>
  <c r="A35" i="13"/>
  <c r="A36" i="13"/>
  <c r="A37" i="13"/>
  <c r="A39" i="13"/>
  <c r="A40" i="13"/>
  <c r="A30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7" i="13"/>
  <c r="A28" i="13"/>
  <c r="A3" i="13"/>
  <c r="B94" i="6"/>
  <c r="B92" i="6"/>
  <c r="B91" i="6"/>
  <c r="B75" i="6"/>
  <c r="C75" i="6"/>
  <c r="C39" i="6"/>
  <c r="B36" i="6"/>
  <c r="C27" i="6"/>
  <c r="C14" i="6"/>
  <c r="B3" i="6"/>
  <c r="B95" i="5"/>
  <c r="B36" i="5"/>
  <c r="B37" i="5"/>
  <c r="C27" i="5"/>
  <c r="B3" i="5"/>
  <c r="C75" i="4"/>
  <c r="C27" i="4"/>
  <c r="B3" i="4"/>
  <c r="B94" i="4"/>
  <c r="B92" i="4"/>
  <c r="B91" i="4"/>
  <c r="B95" i="3"/>
  <c r="B94" i="3"/>
  <c r="B93" i="3"/>
  <c r="B95" i="1"/>
  <c r="B94" i="1"/>
  <c r="B92" i="2"/>
  <c r="B91" i="2"/>
  <c r="B95" i="2" s="1"/>
  <c r="B94" i="2"/>
  <c r="B93" i="2"/>
  <c r="B93" i="1"/>
  <c r="B94" i="5"/>
  <c r="B92" i="5"/>
  <c r="B91" i="5"/>
  <c r="B91" i="3"/>
  <c r="C75" i="3"/>
  <c r="B36" i="3"/>
  <c r="C27" i="3"/>
  <c r="C14" i="3"/>
  <c r="C23" i="3"/>
  <c r="B3" i="3"/>
  <c r="C13" i="3"/>
  <c r="B92" i="3"/>
  <c r="C75" i="2"/>
  <c r="C72" i="2"/>
  <c r="B37" i="2"/>
  <c r="B36" i="2"/>
  <c r="C27" i="2"/>
  <c r="C8" i="2"/>
  <c r="B3" i="2"/>
  <c r="C75" i="1"/>
  <c r="B92" i="1"/>
  <c r="B91" i="1"/>
  <c r="C23" i="1"/>
  <c r="C37" i="1"/>
  <c r="B36" i="1"/>
  <c r="B88" i="15" l="1"/>
  <c r="F78" i="15"/>
  <c r="D78" i="15"/>
  <c r="B93" i="15"/>
  <c r="B95" i="15" s="1"/>
  <c r="B110" i="15"/>
  <c r="B78" i="15"/>
  <c r="F109" i="14"/>
  <c r="D109" i="14"/>
  <c r="C109" i="14"/>
  <c r="E109" i="14"/>
  <c r="F102" i="13"/>
  <c r="F109" i="13" s="1"/>
  <c r="F109" i="3"/>
  <c r="B3" i="13"/>
  <c r="B109" i="13"/>
  <c r="C109" i="13"/>
  <c r="F94" i="13"/>
  <c r="D109" i="13"/>
  <c r="E109" i="13"/>
  <c r="B79" i="15" l="1"/>
  <c r="B110" i="14"/>
  <c r="B110" i="13"/>
  <c r="C27" i="1" l="1"/>
  <c r="B3" i="1"/>
  <c r="B28" i="1" s="1"/>
  <c r="B82" i="1" s="1"/>
  <c r="E109" i="12"/>
  <c r="D109" i="12"/>
  <c r="C109" i="12"/>
  <c r="B109" i="12"/>
  <c r="F108" i="12"/>
  <c r="F107" i="12"/>
  <c r="F106" i="12"/>
  <c r="F105" i="12"/>
  <c r="F104" i="12"/>
  <c r="F103" i="12"/>
  <c r="F102" i="12"/>
  <c r="F101" i="12"/>
  <c r="F100" i="12"/>
  <c r="F94" i="12"/>
  <c r="F76" i="12"/>
  <c r="F76" i="14" s="1"/>
  <c r="E76" i="12"/>
  <c r="E76" i="14" s="1"/>
  <c r="D76" i="12"/>
  <c r="D76" i="14" s="1"/>
  <c r="C76" i="12"/>
  <c r="C76" i="14" s="1"/>
  <c r="B76" i="12"/>
  <c r="F64" i="12"/>
  <c r="F64" i="14" s="1"/>
  <c r="E64" i="12"/>
  <c r="E64" i="14" s="1"/>
  <c r="D64" i="12"/>
  <c r="D64" i="14" s="1"/>
  <c r="C64" i="12"/>
  <c r="C64" i="14" s="1"/>
  <c r="B64" i="12"/>
  <c r="F56" i="12"/>
  <c r="F56" i="14" s="1"/>
  <c r="E56" i="12"/>
  <c r="E56" i="14" s="1"/>
  <c r="D56" i="12"/>
  <c r="D56" i="14" s="1"/>
  <c r="C56" i="12"/>
  <c r="C56" i="14" s="1"/>
  <c r="B56" i="12"/>
  <c r="F51" i="12"/>
  <c r="F51" i="14" s="1"/>
  <c r="E51" i="12"/>
  <c r="E51" i="14" s="1"/>
  <c r="D51" i="12"/>
  <c r="D51" i="14" s="1"/>
  <c r="C51" i="12"/>
  <c r="C51" i="14" s="1"/>
  <c r="B51" i="12"/>
  <c r="F40" i="12"/>
  <c r="F40" i="14" s="1"/>
  <c r="E40" i="12"/>
  <c r="E40" i="14" s="1"/>
  <c r="D40" i="12"/>
  <c r="D40" i="14" s="1"/>
  <c r="C40" i="12"/>
  <c r="C40" i="14" s="1"/>
  <c r="B40" i="12"/>
  <c r="F28" i="12"/>
  <c r="E28" i="12"/>
  <c r="D28" i="12"/>
  <c r="C28" i="12"/>
  <c r="B28" i="12"/>
  <c r="F94" i="11"/>
  <c r="F76" i="11"/>
  <c r="E76" i="11"/>
  <c r="D76" i="11"/>
  <c r="C76" i="11"/>
  <c r="B76" i="11"/>
  <c r="B87" i="11" s="1"/>
  <c r="F64" i="11"/>
  <c r="E64" i="11"/>
  <c r="D64" i="11"/>
  <c r="C64" i="11"/>
  <c r="B64" i="11"/>
  <c r="B85" i="11" s="1"/>
  <c r="F56" i="11"/>
  <c r="E56" i="11"/>
  <c r="D56" i="11"/>
  <c r="C56" i="11"/>
  <c r="B56" i="11"/>
  <c r="B84" i="11" s="1"/>
  <c r="F51" i="11"/>
  <c r="E51" i="11"/>
  <c r="D51" i="11"/>
  <c r="C51" i="11"/>
  <c r="B51" i="11"/>
  <c r="B86" i="11" s="1"/>
  <c r="F40" i="11"/>
  <c r="E40" i="11"/>
  <c r="D40" i="11"/>
  <c r="C40" i="11"/>
  <c r="B40" i="11"/>
  <c r="B83" i="11" s="1"/>
  <c r="F28" i="11"/>
  <c r="E28" i="11"/>
  <c r="D28" i="11"/>
  <c r="C28" i="11"/>
  <c r="B28" i="11"/>
  <c r="B82" i="11" s="1"/>
  <c r="E109" i="10"/>
  <c r="D109" i="10"/>
  <c r="C109" i="10"/>
  <c r="B109" i="10"/>
  <c r="F108" i="10"/>
  <c r="F107" i="10"/>
  <c r="F106" i="10"/>
  <c r="F105" i="10"/>
  <c r="F104" i="10"/>
  <c r="F103" i="10"/>
  <c r="F102" i="10"/>
  <c r="F101" i="10"/>
  <c r="F100" i="10"/>
  <c r="F94" i="10"/>
  <c r="F76" i="10"/>
  <c r="E76" i="10"/>
  <c r="D76" i="10"/>
  <c r="C76" i="10"/>
  <c r="B76" i="10"/>
  <c r="B87" i="10" s="1"/>
  <c r="F64" i="10"/>
  <c r="E64" i="10"/>
  <c r="D64" i="10"/>
  <c r="C64" i="10"/>
  <c r="B64" i="10"/>
  <c r="B85" i="10" s="1"/>
  <c r="F56" i="10"/>
  <c r="E56" i="10"/>
  <c r="D56" i="10"/>
  <c r="C56" i="10"/>
  <c r="B56" i="10"/>
  <c r="B84" i="10" s="1"/>
  <c r="F51" i="10"/>
  <c r="E51" i="10"/>
  <c r="D51" i="10"/>
  <c r="C51" i="10"/>
  <c r="B51" i="10"/>
  <c r="F40" i="10"/>
  <c r="E40" i="10"/>
  <c r="D40" i="10"/>
  <c r="C40" i="10"/>
  <c r="B40" i="10"/>
  <c r="B83" i="10" s="1"/>
  <c r="F28" i="10"/>
  <c r="E28" i="10"/>
  <c r="D28" i="10"/>
  <c r="C28" i="10"/>
  <c r="B28" i="10"/>
  <c r="B82" i="10" s="1"/>
  <c r="E110" i="9"/>
  <c r="D110" i="9"/>
  <c r="C110" i="9"/>
  <c r="B110" i="9"/>
  <c r="F109" i="9"/>
  <c r="F108" i="9"/>
  <c r="F107" i="9"/>
  <c r="F106" i="9"/>
  <c r="F105" i="9"/>
  <c r="F104" i="9"/>
  <c r="F103" i="9"/>
  <c r="F102" i="9"/>
  <c r="F101" i="9"/>
  <c r="F100" i="9"/>
  <c r="F94" i="9"/>
  <c r="F76" i="9"/>
  <c r="E76" i="9"/>
  <c r="D76" i="9"/>
  <c r="C76" i="9"/>
  <c r="B76" i="9"/>
  <c r="B87" i="9" s="1"/>
  <c r="F64" i="9"/>
  <c r="E64" i="9"/>
  <c r="D64" i="9"/>
  <c r="C64" i="9"/>
  <c r="B64" i="9"/>
  <c r="B85" i="9" s="1"/>
  <c r="F56" i="9"/>
  <c r="E56" i="9"/>
  <c r="D56" i="9"/>
  <c r="C56" i="9"/>
  <c r="B56" i="9"/>
  <c r="B84" i="9" s="1"/>
  <c r="F51" i="9"/>
  <c r="E51" i="9"/>
  <c r="D51" i="9"/>
  <c r="C51" i="9"/>
  <c r="B51" i="9"/>
  <c r="B86" i="9" s="1"/>
  <c r="F40" i="9"/>
  <c r="E40" i="9"/>
  <c r="D40" i="9"/>
  <c r="C40" i="9"/>
  <c r="B40" i="9"/>
  <c r="B83" i="9" s="1"/>
  <c r="F28" i="9"/>
  <c r="E28" i="9"/>
  <c r="D28" i="9"/>
  <c r="C28" i="9"/>
  <c r="B28" i="9"/>
  <c r="B82" i="9" s="1"/>
  <c r="E109" i="8"/>
  <c r="D109" i="8"/>
  <c r="C109" i="8"/>
  <c r="B109" i="8"/>
  <c r="F108" i="8"/>
  <c r="F107" i="8"/>
  <c r="F106" i="8"/>
  <c r="F105" i="8"/>
  <c r="F104" i="8"/>
  <c r="F103" i="8"/>
  <c r="F102" i="8"/>
  <c r="F101" i="8"/>
  <c r="F100" i="8"/>
  <c r="F94" i="8"/>
  <c r="F76" i="8"/>
  <c r="E76" i="8"/>
  <c r="D76" i="8"/>
  <c r="C76" i="8"/>
  <c r="B76" i="8"/>
  <c r="B87" i="8" s="1"/>
  <c r="F64" i="8"/>
  <c r="E64" i="8"/>
  <c r="D64" i="8"/>
  <c r="C64" i="8"/>
  <c r="B64" i="8"/>
  <c r="B85" i="8" s="1"/>
  <c r="F56" i="8"/>
  <c r="E56" i="8"/>
  <c r="D56" i="8"/>
  <c r="C56" i="8"/>
  <c r="B56" i="8"/>
  <c r="B84" i="8" s="1"/>
  <c r="F51" i="8"/>
  <c r="E51" i="8"/>
  <c r="D51" i="8"/>
  <c r="C51" i="8"/>
  <c r="B51" i="8"/>
  <c r="B86" i="8" s="1"/>
  <c r="F40" i="8"/>
  <c r="E40" i="8"/>
  <c r="D40" i="8"/>
  <c r="C40" i="8"/>
  <c r="B40" i="8"/>
  <c r="B83" i="8" s="1"/>
  <c r="F28" i="8"/>
  <c r="E28" i="8"/>
  <c r="D28" i="8"/>
  <c r="C28" i="8"/>
  <c r="B28" i="8"/>
  <c r="B82" i="8" s="1"/>
  <c r="E109" i="7"/>
  <c r="D109" i="7"/>
  <c r="C109" i="7"/>
  <c r="B109" i="7"/>
  <c r="F108" i="7"/>
  <c r="F107" i="7"/>
  <c r="F106" i="7"/>
  <c r="F105" i="7"/>
  <c r="F104" i="7"/>
  <c r="F103" i="7"/>
  <c r="F102" i="7"/>
  <c r="F101" i="7"/>
  <c r="F100" i="7"/>
  <c r="F94" i="7"/>
  <c r="F76" i="7"/>
  <c r="E76" i="7"/>
  <c r="D76" i="7"/>
  <c r="C76" i="7"/>
  <c r="C78" i="7" s="1"/>
  <c r="B93" i="7" s="1"/>
  <c r="B95" i="7" s="1"/>
  <c r="B76" i="7"/>
  <c r="B87" i="7" s="1"/>
  <c r="F64" i="7"/>
  <c r="E64" i="7"/>
  <c r="D64" i="7"/>
  <c r="C64" i="7"/>
  <c r="B64" i="7"/>
  <c r="B85" i="7" s="1"/>
  <c r="F56" i="7"/>
  <c r="E56" i="7"/>
  <c r="D56" i="7"/>
  <c r="C56" i="7"/>
  <c r="B56" i="7"/>
  <c r="B84" i="7" s="1"/>
  <c r="F51" i="7"/>
  <c r="E51" i="7"/>
  <c r="D51" i="7"/>
  <c r="C51" i="7"/>
  <c r="B51" i="7"/>
  <c r="B86" i="7" s="1"/>
  <c r="F40" i="7"/>
  <c r="E40" i="7"/>
  <c r="D40" i="7"/>
  <c r="C40" i="7"/>
  <c r="B40" i="7"/>
  <c r="B83" i="7" s="1"/>
  <c r="F28" i="7"/>
  <c r="E28" i="7"/>
  <c r="D28" i="7"/>
  <c r="C28" i="7"/>
  <c r="B28" i="7"/>
  <c r="B82" i="7" s="1"/>
  <c r="E109" i="6"/>
  <c r="D109" i="6"/>
  <c r="C109" i="6"/>
  <c r="B109" i="6"/>
  <c r="F108" i="6"/>
  <c r="F107" i="6"/>
  <c r="F106" i="6"/>
  <c r="F105" i="6"/>
  <c r="F104" i="6"/>
  <c r="F102" i="6"/>
  <c r="F101" i="6"/>
  <c r="F100" i="6"/>
  <c r="F94" i="6"/>
  <c r="F76" i="6"/>
  <c r="E76" i="6"/>
  <c r="D76" i="6"/>
  <c r="C76" i="6"/>
  <c r="B76" i="6"/>
  <c r="B87" i="6" s="1"/>
  <c r="F64" i="6"/>
  <c r="E64" i="6"/>
  <c r="D64" i="6"/>
  <c r="C64" i="6"/>
  <c r="B64" i="6"/>
  <c r="B85" i="6" s="1"/>
  <c r="F56" i="6"/>
  <c r="E56" i="6"/>
  <c r="D56" i="6"/>
  <c r="C56" i="6"/>
  <c r="B56" i="6"/>
  <c r="B84" i="6" s="1"/>
  <c r="F51" i="6"/>
  <c r="E51" i="6"/>
  <c r="D51" i="6"/>
  <c r="C51" i="6"/>
  <c r="B51" i="6"/>
  <c r="B86" i="6" s="1"/>
  <c r="F40" i="6"/>
  <c r="E40" i="6"/>
  <c r="D40" i="6"/>
  <c r="C40" i="6"/>
  <c r="B40" i="6"/>
  <c r="B83" i="6" s="1"/>
  <c r="F28" i="6"/>
  <c r="E28" i="6"/>
  <c r="D28" i="6"/>
  <c r="C28" i="6"/>
  <c r="B28" i="6"/>
  <c r="E109" i="5"/>
  <c r="D109" i="5"/>
  <c r="C109" i="5"/>
  <c r="B109" i="5"/>
  <c r="F108" i="5"/>
  <c r="F107" i="5"/>
  <c r="F106" i="5"/>
  <c r="F105" i="5"/>
  <c r="F104" i="5"/>
  <c r="F103" i="5"/>
  <c r="F101" i="5"/>
  <c r="F100" i="5"/>
  <c r="F94" i="5"/>
  <c r="F76" i="5"/>
  <c r="E76" i="5"/>
  <c r="D76" i="5"/>
  <c r="C76" i="5"/>
  <c r="B76" i="5"/>
  <c r="B87" i="5" s="1"/>
  <c r="F64" i="5"/>
  <c r="E64" i="5"/>
  <c r="D64" i="5"/>
  <c r="C64" i="5"/>
  <c r="B64" i="5"/>
  <c r="B85" i="5" s="1"/>
  <c r="F56" i="5"/>
  <c r="E56" i="5"/>
  <c r="D56" i="5"/>
  <c r="C56" i="5"/>
  <c r="B56" i="5"/>
  <c r="F51" i="5"/>
  <c r="E51" i="5"/>
  <c r="D51" i="5"/>
  <c r="C51" i="5"/>
  <c r="B51" i="5"/>
  <c r="B86" i="5" s="1"/>
  <c r="F40" i="5"/>
  <c r="E40" i="5"/>
  <c r="D40" i="5"/>
  <c r="C40" i="5"/>
  <c r="B40" i="5"/>
  <c r="B83" i="5" s="1"/>
  <c r="F28" i="5"/>
  <c r="E28" i="5"/>
  <c r="D28" i="5"/>
  <c r="C28" i="5"/>
  <c r="B28" i="5"/>
  <c r="B82" i="5" s="1"/>
  <c r="E109" i="4"/>
  <c r="D109" i="4"/>
  <c r="C109" i="4"/>
  <c r="B109" i="4"/>
  <c r="F108" i="4"/>
  <c r="F107" i="4"/>
  <c r="F106" i="4"/>
  <c r="F105" i="4"/>
  <c r="F104" i="4"/>
  <c r="F103" i="4"/>
  <c r="F101" i="4"/>
  <c r="F100" i="4"/>
  <c r="F94" i="4"/>
  <c r="F76" i="4"/>
  <c r="E76" i="4"/>
  <c r="D76" i="4"/>
  <c r="C76" i="4"/>
  <c r="B76" i="4"/>
  <c r="F64" i="4"/>
  <c r="E64" i="4"/>
  <c r="D64" i="4"/>
  <c r="C64" i="4"/>
  <c r="B64" i="4"/>
  <c r="F56" i="4"/>
  <c r="E56" i="4"/>
  <c r="D56" i="4"/>
  <c r="C56" i="4"/>
  <c r="B56" i="4"/>
  <c r="F51" i="4"/>
  <c r="E51" i="4"/>
  <c r="D51" i="4"/>
  <c r="C51" i="4"/>
  <c r="B51" i="4"/>
  <c r="F40" i="4"/>
  <c r="E40" i="4"/>
  <c r="D40" i="4"/>
  <c r="C40" i="4"/>
  <c r="B40" i="4"/>
  <c r="F28" i="4"/>
  <c r="E28" i="4"/>
  <c r="D28" i="4"/>
  <c r="C28" i="4"/>
  <c r="B28" i="4"/>
  <c r="E109" i="3"/>
  <c r="D109" i="3"/>
  <c r="C109" i="3"/>
  <c r="B109" i="3"/>
  <c r="F108" i="3"/>
  <c r="F107" i="3"/>
  <c r="F106" i="3"/>
  <c r="F105" i="3"/>
  <c r="F104" i="3"/>
  <c r="F102" i="3"/>
  <c r="F101" i="3"/>
  <c r="F100" i="3"/>
  <c r="F94" i="3"/>
  <c r="F76" i="3"/>
  <c r="E76" i="3"/>
  <c r="D76" i="3"/>
  <c r="C76" i="3"/>
  <c r="B76" i="3"/>
  <c r="B87" i="3" s="1"/>
  <c r="F64" i="3"/>
  <c r="E64" i="3"/>
  <c r="D64" i="3"/>
  <c r="C64" i="3"/>
  <c r="B64" i="3"/>
  <c r="B85" i="3" s="1"/>
  <c r="F56" i="3"/>
  <c r="E56" i="3"/>
  <c r="D56" i="3"/>
  <c r="C56" i="3"/>
  <c r="B56" i="3"/>
  <c r="B84" i="3" s="1"/>
  <c r="F51" i="3"/>
  <c r="E51" i="3"/>
  <c r="D51" i="3"/>
  <c r="C51" i="3"/>
  <c r="B51" i="3"/>
  <c r="B86" i="3" s="1"/>
  <c r="F40" i="3"/>
  <c r="E40" i="3"/>
  <c r="D40" i="3"/>
  <c r="C40" i="3"/>
  <c r="B40" i="3"/>
  <c r="B83" i="3" s="1"/>
  <c r="F28" i="3"/>
  <c r="E28" i="3"/>
  <c r="D28" i="3"/>
  <c r="C28" i="3"/>
  <c r="B28" i="3"/>
  <c r="B82" i="3" s="1"/>
  <c r="E109" i="2"/>
  <c r="D109" i="2"/>
  <c r="C109" i="2"/>
  <c r="B109" i="2"/>
  <c r="F108" i="2"/>
  <c r="F107" i="2"/>
  <c r="F106" i="2"/>
  <c r="F105" i="2"/>
  <c r="F104" i="2"/>
  <c r="F103" i="2"/>
  <c r="F101" i="2"/>
  <c r="F100" i="2"/>
  <c r="F94" i="2"/>
  <c r="F76" i="2"/>
  <c r="E76" i="2"/>
  <c r="D76" i="2"/>
  <c r="C76" i="2"/>
  <c r="B76" i="2"/>
  <c r="B87" i="2" s="1"/>
  <c r="F64" i="2"/>
  <c r="E64" i="2"/>
  <c r="D64" i="2"/>
  <c r="C64" i="2"/>
  <c r="B64" i="2"/>
  <c r="B85" i="2" s="1"/>
  <c r="F56" i="2"/>
  <c r="E56" i="2"/>
  <c r="D56" i="2"/>
  <c r="C56" i="2"/>
  <c r="B56" i="2"/>
  <c r="B84" i="2" s="1"/>
  <c r="F51" i="2"/>
  <c r="E51" i="2"/>
  <c r="D51" i="2"/>
  <c r="C51" i="2"/>
  <c r="B51" i="2"/>
  <c r="B86" i="2" s="1"/>
  <c r="F40" i="2"/>
  <c r="E40" i="2"/>
  <c r="D40" i="2"/>
  <c r="C40" i="2"/>
  <c r="B40" i="2"/>
  <c r="B83" i="2" s="1"/>
  <c r="F28" i="2"/>
  <c r="E28" i="2"/>
  <c r="D28" i="2"/>
  <c r="C28" i="2"/>
  <c r="B28" i="2"/>
  <c r="B82" i="2" s="1"/>
  <c r="E109" i="1"/>
  <c r="D109" i="1"/>
  <c r="C109" i="1"/>
  <c r="B109" i="1"/>
  <c r="F108" i="1"/>
  <c r="F107" i="1"/>
  <c r="F106" i="1"/>
  <c r="F105" i="1"/>
  <c r="F104" i="1"/>
  <c r="F102" i="1"/>
  <c r="F101" i="1"/>
  <c r="F100" i="1"/>
  <c r="F94" i="1"/>
  <c r="F76" i="1"/>
  <c r="E76" i="1"/>
  <c r="D76" i="1"/>
  <c r="C76" i="1"/>
  <c r="B76" i="1"/>
  <c r="B87" i="1" s="1"/>
  <c r="F64" i="1"/>
  <c r="E64" i="1"/>
  <c r="D64" i="1"/>
  <c r="C64" i="1"/>
  <c r="B64" i="1"/>
  <c r="B85" i="1" s="1"/>
  <c r="F56" i="1"/>
  <c r="E56" i="1"/>
  <c r="D56" i="1"/>
  <c r="C56" i="1"/>
  <c r="B56" i="1"/>
  <c r="B84" i="1" s="1"/>
  <c r="F51" i="1"/>
  <c r="E51" i="1"/>
  <c r="D51" i="1"/>
  <c r="C51" i="1"/>
  <c r="B51" i="1"/>
  <c r="F40" i="1"/>
  <c r="E40" i="1"/>
  <c r="D40" i="1"/>
  <c r="C40" i="1"/>
  <c r="B40" i="1"/>
  <c r="B83" i="1" s="1"/>
  <c r="F28" i="1"/>
  <c r="E28" i="1"/>
  <c r="D28" i="1"/>
  <c r="B83" i="12" l="1"/>
  <c r="B40" i="14"/>
  <c r="C78" i="14"/>
  <c r="B93" i="14" s="1"/>
  <c r="B95" i="14" s="1"/>
  <c r="D78" i="14"/>
  <c r="E78" i="14"/>
  <c r="F78" i="14"/>
  <c r="B87" i="12"/>
  <c r="B76" i="14"/>
  <c r="B87" i="14" s="1"/>
  <c r="B86" i="12"/>
  <c r="B51" i="14"/>
  <c r="B86" i="14" s="1"/>
  <c r="B85" i="12"/>
  <c r="B64" i="14"/>
  <c r="B85" i="14" s="1"/>
  <c r="B84" i="12"/>
  <c r="B56" i="14"/>
  <c r="B84" i="14" s="1"/>
  <c r="F78" i="12"/>
  <c r="B110" i="12"/>
  <c r="E78" i="12"/>
  <c r="C78" i="12"/>
  <c r="B93" i="12" s="1"/>
  <c r="B95" i="12" s="1"/>
  <c r="D78" i="12"/>
  <c r="F109" i="12"/>
  <c r="B78" i="12"/>
  <c r="B82" i="12"/>
  <c r="C78" i="11"/>
  <c r="E78" i="11"/>
  <c r="F78" i="11"/>
  <c r="D78" i="11"/>
  <c r="B88" i="11"/>
  <c r="B78" i="11"/>
  <c r="B79" i="11" s="1"/>
  <c r="B110" i="10"/>
  <c r="B78" i="10"/>
  <c r="B86" i="10"/>
  <c r="C78" i="10"/>
  <c r="D78" i="10"/>
  <c r="E78" i="10"/>
  <c r="F109" i="10"/>
  <c r="F78" i="10"/>
  <c r="B88" i="10"/>
  <c r="F78" i="9"/>
  <c r="B111" i="9"/>
  <c r="B78" i="9"/>
  <c r="C78" i="9"/>
  <c r="B93" i="9" s="1"/>
  <c r="B95" i="9" s="1"/>
  <c r="D78" i="9"/>
  <c r="F110" i="9"/>
  <c r="E78" i="9"/>
  <c r="B88" i="9"/>
  <c r="E78" i="8"/>
  <c r="B110" i="8"/>
  <c r="F109" i="8"/>
  <c r="F78" i="8"/>
  <c r="D78" i="8"/>
  <c r="C78" i="8"/>
  <c r="B88" i="8"/>
  <c r="B78" i="8"/>
  <c r="F109" i="7"/>
  <c r="B110" i="7"/>
  <c r="F78" i="7"/>
  <c r="D78" i="7"/>
  <c r="E78" i="7"/>
  <c r="B88" i="7"/>
  <c r="B78" i="7"/>
  <c r="D78" i="13"/>
  <c r="F78" i="13"/>
  <c r="C78" i="13"/>
  <c r="E78" i="13"/>
  <c r="B82" i="4"/>
  <c r="B85" i="4"/>
  <c r="B83" i="4"/>
  <c r="B84" i="4"/>
  <c r="B87" i="4"/>
  <c r="B78" i="13"/>
  <c r="D78" i="6"/>
  <c r="B110" i="6"/>
  <c r="E78" i="6"/>
  <c r="F78" i="6"/>
  <c r="B78" i="6"/>
  <c r="C78" i="6"/>
  <c r="B93" i="6" s="1"/>
  <c r="B95" i="6" s="1"/>
  <c r="B82" i="6"/>
  <c r="B88" i="6" s="1"/>
  <c r="C78" i="5"/>
  <c r="B93" i="5" s="1"/>
  <c r="F78" i="5"/>
  <c r="B110" i="5"/>
  <c r="B78" i="5"/>
  <c r="D78" i="5"/>
  <c r="E78" i="5"/>
  <c r="B84" i="5"/>
  <c r="B88" i="5" s="1"/>
  <c r="F78" i="4"/>
  <c r="B110" i="4"/>
  <c r="C78" i="4"/>
  <c r="B93" i="4" s="1"/>
  <c r="D78" i="4"/>
  <c r="E78" i="4"/>
  <c r="B78" i="4"/>
  <c r="B86" i="4"/>
  <c r="F78" i="3"/>
  <c r="B110" i="3"/>
  <c r="C78" i="3"/>
  <c r="B78" i="3"/>
  <c r="D78" i="3"/>
  <c r="E78" i="3"/>
  <c r="B88" i="3"/>
  <c r="C78" i="2"/>
  <c r="D78" i="2"/>
  <c r="E78" i="2"/>
  <c r="F78" i="2"/>
  <c r="B110" i="2"/>
  <c r="B88" i="2"/>
  <c r="B78" i="2"/>
  <c r="C28" i="1"/>
  <c r="C78" i="1" s="1"/>
  <c r="B110" i="1"/>
  <c r="B78" i="1"/>
  <c r="B86" i="1"/>
  <c r="F78" i="1"/>
  <c r="D78" i="1"/>
  <c r="E78" i="1"/>
  <c r="B88" i="1"/>
  <c r="B88" i="12" l="1"/>
  <c r="B83" i="14"/>
  <c r="B88" i="14" s="1"/>
  <c r="B78" i="14"/>
  <c r="B79" i="14" s="1"/>
  <c r="B79" i="12"/>
  <c r="B79" i="10"/>
  <c r="B79" i="9"/>
  <c r="B79" i="8"/>
  <c r="B79" i="7"/>
  <c r="B79" i="13"/>
  <c r="B88" i="4"/>
  <c r="B95" i="4"/>
  <c r="B79" i="6"/>
  <c r="B79" i="5"/>
  <c r="B79" i="4"/>
  <c r="B79" i="3"/>
  <c r="B79" i="2"/>
  <c r="B79" i="1"/>
</calcChain>
</file>

<file path=xl/sharedStrings.xml><?xml version="1.0" encoding="utf-8"?>
<sst xmlns="http://schemas.openxmlformats.org/spreadsheetml/2006/main" count="1526" uniqueCount="149">
  <si>
    <t>MERCADERIA</t>
  </si>
  <si>
    <t xml:space="preserve"> EXPORTACION </t>
  </si>
  <si>
    <t xml:space="preserve"> IMPORTACION </t>
  </si>
  <si>
    <t>REMOVIDO ENTRADO</t>
  </si>
  <si>
    <t xml:space="preserve"> REMOVIDO SALIDO </t>
  </si>
  <si>
    <t xml:space="preserve"> CONSUMO BUQUE </t>
  </si>
  <si>
    <t>ALAMBRON ALUMINIO</t>
  </si>
  <si>
    <t>ALUMINA</t>
  </si>
  <si>
    <t>ALUMINIO</t>
  </si>
  <si>
    <t>BAÑO  CRIOLITICO</t>
  </si>
  <si>
    <t>BLOQUES CATODICOS</t>
  </si>
  <si>
    <t>BREA</t>
  </si>
  <si>
    <t>BRIQUETA</t>
  </si>
  <si>
    <t>CATODOS A GRANEL</t>
  </si>
  <si>
    <t>CEMENTO</t>
  </si>
  <si>
    <t>COKE</t>
  </si>
  <si>
    <t>FLUORURO DE ALUMINIO</t>
  </si>
  <si>
    <t>INSUMOS</t>
  </si>
  <si>
    <t>LADRILLOS AISLANTES</t>
  </si>
  <si>
    <t>LOSAS LATERALES</t>
  </si>
  <si>
    <t>MAGNESIO</t>
  </si>
  <si>
    <t>MAQUINAS Y APARATOS</t>
  </si>
  <si>
    <t>MATERIAL EMPAQUE</t>
  </si>
  <si>
    <t>MATERIAL REFRACTARIO</t>
  </si>
  <si>
    <t>PRODUCTOS QUIMICOS</t>
  </si>
  <si>
    <t>REPUESTOS</t>
  </si>
  <si>
    <t>SILICIO METALICO</t>
  </si>
  <si>
    <t>SUPER RAMP CP 45</t>
  </si>
  <si>
    <t>TEJOS DE ALUMINIO</t>
  </si>
  <si>
    <t xml:space="preserve">OTROS </t>
  </si>
  <si>
    <t>TOTAL SECTOR ALUMINIO</t>
  </si>
  <si>
    <t>CALAMAR</t>
  </si>
  <si>
    <t>CENTOLLAS</t>
  </si>
  <si>
    <t>COMBUSTIBLES LIQUIDOS Y DERIVADOS</t>
  </si>
  <si>
    <t>LANGOSTINOS</t>
  </si>
  <si>
    <t>MERLUZA</t>
  </si>
  <si>
    <t>PESCADOS MARISCOS MOLUSCOS</t>
  </si>
  <si>
    <t>TOTAL SECTOR PESCA</t>
  </si>
  <si>
    <t>CUERO, PELO Y GRASA ANIMAL</t>
  </si>
  <si>
    <t>LANA</t>
  </si>
  <si>
    <t>LANA LAVADA</t>
  </si>
  <si>
    <t>LANA SUCIA</t>
  </si>
  <si>
    <t>LANA TOPS</t>
  </si>
  <si>
    <t>LANA BLUOSSE</t>
  </si>
  <si>
    <t>LANA PEINADA</t>
  </si>
  <si>
    <t>TOTAL SECTOR LANERO</t>
  </si>
  <si>
    <t>PORFIDO</t>
  </si>
  <si>
    <t>TOTAL SECTOR PORFIDOS</t>
  </si>
  <si>
    <t>FRUTA DESHIDRATADA</t>
  </si>
  <si>
    <t>JUGOS CONCENTRADOS</t>
  </si>
  <si>
    <t>MANZANA REFRIGERADA</t>
  </si>
  <si>
    <t>PERA REFRIGERADA</t>
  </si>
  <si>
    <t>TOTAL SECTOR FRUTAS Y VERDURAS</t>
  </si>
  <si>
    <t>ALGAS MARINAS</t>
  </si>
  <si>
    <t>CARNES COMESTIBLES</t>
  </si>
  <si>
    <t>CONCENTRADO DE PLATA</t>
  </si>
  <si>
    <t>DONACIONES INTERNAC.</t>
  </si>
  <si>
    <t>EFECTOS PERSONALES</t>
  </si>
  <si>
    <t>GENERADORES EOLICOS</t>
  </si>
  <si>
    <t>GRUAS Y ELEMENTOS DE IZAJES</t>
  </si>
  <si>
    <t>TOTAL SECTOR OTRAS MERCADERIAS</t>
  </si>
  <si>
    <t xml:space="preserve">TOTAL TONS: MENSUAL </t>
  </si>
  <si>
    <t>TONELADAS MOVIDAS MENSUALES</t>
  </si>
  <si>
    <t>EXPORTACION POR SECTOR</t>
  </si>
  <si>
    <t>PESCA</t>
  </si>
  <si>
    <t>PORFIDOS</t>
  </si>
  <si>
    <t>FRUTAS Y VERDURAS</t>
  </si>
  <si>
    <t>LANERO</t>
  </si>
  <si>
    <t>OTRAS MERCADERIAS</t>
  </si>
  <si>
    <t xml:space="preserve"> TOTAL EXPORTACION</t>
  </si>
  <si>
    <t>BUQUES ATENDIDOS EN EL MES</t>
  </si>
  <si>
    <t>BUQUE CARGA GENERAL</t>
  </si>
  <si>
    <t>FRIGORIFICO</t>
  </si>
  <si>
    <t>CISTERNA (TANQUE)</t>
  </si>
  <si>
    <t>MINERALERO</t>
  </si>
  <si>
    <t>PASAJEROS</t>
  </si>
  <si>
    <t>PESQUERO CAJONERO</t>
  </si>
  <si>
    <t>PESQUERO FACTORIA</t>
  </si>
  <si>
    <t>PESQUERO TANGONERO</t>
  </si>
  <si>
    <t>PESQUERO POTERO</t>
  </si>
  <si>
    <t>PORTACONTENEDORES</t>
  </si>
  <si>
    <t>CATAMARAN</t>
  </si>
  <si>
    <t>OTRO</t>
  </si>
  <si>
    <t>TOTAL BUQUES</t>
  </si>
  <si>
    <t>IMPORTACION POR MERCADERIA</t>
  </si>
  <si>
    <t>OTROS</t>
  </si>
  <si>
    <t>AEROGENERADORES</t>
  </si>
  <si>
    <t xml:space="preserve"> TOTAL IMPORTACION</t>
  </si>
  <si>
    <t>MOVIMIENTO DE CONTENEDORES DEL MES</t>
  </si>
  <si>
    <t>CONTENEDOR</t>
  </si>
  <si>
    <t>EXPORTACION</t>
  </si>
  <si>
    <t>IMPORTACION</t>
  </si>
  <si>
    <t>VACIOS ENTRADO</t>
  </si>
  <si>
    <t>VACIOS SALIDO</t>
  </si>
  <si>
    <t>T E U S</t>
  </si>
  <si>
    <t>REEFER  40 Pies</t>
  </si>
  <si>
    <t>REEFER HC  40 Pies</t>
  </si>
  <si>
    <t>STANDARD  40 Pies</t>
  </si>
  <si>
    <t>STANDARD  20 Pies</t>
  </si>
  <si>
    <t>STANDARD HC  40 Pies</t>
  </si>
  <si>
    <t>OPEN TOP  40 Pies</t>
  </si>
  <si>
    <t>FLAT RACK  40 Pies</t>
  </si>
  <si>
    <t>OPEN SIDE  20 Pies</t>
  </si>
  <si>
    <t>TANK  20 Pies</t>
  </si>
  <si>
    <t>Totales</t>
  </si>
  <si>
    <t>Total Contenedores</t>
  </si>
  <si>
    <t>STANDARD   Pies</t>
  </si>
  <si>
    <t>RESUMEN NOVEMBER</t>
  </si>
  <si>
    <t>RESUMEN DECEMBER</t>
  </si>
  <si>
    <t>Diciembre 2025</t>
  </si>
  <si>
    <t>Enero 2025</t>
  </si>
  <si>
    <t>RESUMEN ENERO</t>
  </si>
  <si>
    <t>Febrero 2025</t>
  </si>
  <si>
    <t>RESUMEN FEBRERO</t>
  </si>
  <si>
    <t>Marzo 2025</t>
  </si>
  <si>
    <t>Marzo</t>
  </si>
  <si>
    <t>RESUMEN MARZO</t>
  </si>
  <si>
    <t>Abril 2025</t>
  </si>
  <si>
    <t>RESUMEN ABRIL</t>
  </si>
  <si>
    <t>Mayo 2025</t>
  </si>
  <si>
    <t>RESUMEN MAYO</t>
  </si>
  <si>
    <t>Junio 2025</t>
  </si>
  <si>
    <t>RESUMEN JUNIO</t>
  </si>
  <si>
    <t>RESUMEN SEGUNDO SEMESTRE</t>
  </si>
  <si>
    <t>TOTAL TONS: 1er Semestre</t>
  </si>
  <si>
    <t>TONELADAS MOVIDAS SEMESTRALES</t>
  </si>
  <si>
    <t>RESUMEN PRIMER SEMESTRE</t>
  </si>
  <si>
    <t>EXPORTACIÓN POR SECTOR</t>
  </si>
  <si>
    <t>BUQUES ATENDIDOS</t>
  </si>
  <si>
    <t>TOTAL EXPORTACION</t>
  </si>
  <si>
    <t>IMPORTACIÓN POR MERCADERÍA</t>
  </si>
  <si>
    <t>TOTAL IMPORTACIÓN</t>
  </si>
  <si>
    <t>RESUMEN DE CONTENEDORES - 2do SEMESTRE</t>
  </si>
  <si>
    <t>RESUMEN DE CONTENEDORES - 1er SEMESTRE</t>
  </si>
  <si>
    <t>Julio 2025</t>
  </si>
  <si>
    <t>RESUMEN JULIO</t>
  </si>
  <si>
    <t>Agosto 2025</t>
  </si>
  <si>
    <t>RESUMEN AGOSTO</t>
  </si>
  <si>
    <t>Septiembre 2025</t>
  </si>
  <si>
    <t>RESUMEN SEPTIEMBRE</t>
  </si>
  <si>
    <t>Octubre 2025</t>
  </si>
  <si>
    <t>RESUMEN OCTUBRE</t>
  </si>
  <si>
    <t>Noviembre 2025</t>
  </si>
  <si>
    <t>RESUMEN ANUAL 2025</t>
  </si>
  <si>
    <t>Movimiento de contenedores Anual</t>
  </si>
  <si>
    <t>RESUMEN ANUAL</t>
  </si>
  <si>
    <t>TOTAL TONS: 2do Semestre</t>
  </si>
  <si>
    <t>TONELADAS MOVIDAS ANUALES</t>
  </si>
  <si>
    <t>TOTAL TONS: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</si>
</sst>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FFFFFF"/>
      <name val="Arial"/>
    </font>
    <font>
      <b/>
      <sz val="12"/>
      <color rgb="FFFF0000"/>
      <name val="Arial"/>
    </font>
    <font>
      <sz val="10"/>
      <color rgb="FFFF0000"/>
      <name val="Arial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CCFF"/>
        <bgColor rgb="FF99CCFF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CCFFFF"/>
        <bgColor rgb="FFCCFFFF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4" xfId="0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3" borderId="4" xfId="0" applyFill="1" applyBorder="1"/>
    <xf numFmtId="0" fontId="1" fillId="4" borderId="4" xfId="0" applyFont="1" applyFill="1" applyBorder="1"/>
    <xf numFmtId="0" fontId="2" fillId="4" borderId="4" xfId="0" applyFont="1" applyFill="1" applyBorder="1"/>
    <xf numFmtId="0" fontId="3" fillId="5" borderId="0" xfId="0" applyFont="1" applyFill="1"/>
    <xf numFmtId="0" fontId="0" fillId="5" borderId="0" xfId="0" applyFill="1"/>
    <xf numFmtId="0" fontId="0" fillId="6" borderId="4" xfId="0" applyFill="1" applyBorder="1"/>
    <xf numFmtId="0" fontId="1" fillId="6" borderId="4" xfId="0" applyFont="1" applyFill="1" applyBorder="1"/>
    <xf numFmtId="0" fontId="0" fillId="7" borderId="4" xfId="0" applyFill="1" applyBorder="1"/>
    <xf numFmtId="0" fontId="1" fillId="7" borderId="4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/>
    <xf numFmtId="0" fontId="0" fillId="8" borderId="4" xfId="0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9" borderId="4" xfId="0" applyFill="1" applyBorder="1"/>
    <xf numFmtId="0" fontId="1" fillId="9" borderId="4" xfId="0" applyFont="1" applyFill="1" applyBorder="1"/>
    <xf numFmtId="0" fontId="0" fillId="10" borderId="4" xfId="0" applyFill="1" applyBorder="1"/>
    <xf numFmtId="0" fontId="1" fillId="10" borderId="4" xfId="0" applyFont="1" applyFill="1" applyBorder="1"/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8" fillId="5" borderId="0" xfId="0" applyFont="1" applyFill="1"/>
    <xf numFmtId="49" fontId="9" fillId="0" borderId="0" xfId="0" applyNumberFormat="1" applyFont="1" applyAlignment="1">
      <alignment horizontal="center"/>
    </xf>
    <xf numFmtId="0" fontId="10" fillId="0" borderId="4" xfId="0" applyFont="1" applyBorder="1"/>
    <xf numFmtId="0" fontId="7" fillId="11" borderId="1" xfId="0" applyFont="1" applyFill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/>
    <xf numFmtId="0" fontId="12" fillId="12" borderId="0" xfId="0" applyFont="1" applyFill="1"/>
    <xf numFmtId="0" fontId="9" fillId="0" borderId="4" xfId="0" applyFont="1" applyBorder="1" applyAlignment="1"/>
    <xf numFmtId="0" fontId="9" fillId="13" borderId="4" xfId="0" applyFont="1" applyFill="1" applyBorder="1" applyAlignment="1"/>
    <xf numFmtId="0" fontId="13" fillId="13" borderId="4" xfId="0" applyFont="1" applyFill="1" applyBorder="1" applyAlignment="1"/>
    <xf numFmtId="0" fontId="14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15" fillId="5" borderId="0" xfId="0" applyFont="1" applyFill="1" applyAlignment="1"/>
    <xf numFmtId="0" fontId="0" fillId="0" borderId="0" xfId="0" applyFont="1" applyAlignment="1"/>
    <xf numFmtId="0" fontId="6" fillId="14" borderId="0" xfId="0" applyFont="1" applyFill="1" applyAlignment="1"/>
    <xf numFmtId="0" fontId="9" fillId="15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0" fillId="16" borderId="4" xfId="0" applyFont="1" applyFill="1" applyBorder="1" applyAlignment="1">
      <alignment horizontal="left"/>
    </xf>
    <xf numFmtId="0" fontId="10" fillId="15" borderId="1" xfId="0" applyFont="1" applyFill="1" applyBorder="1" applyAlignment="1">
      <alignment horizontal="center"/>
    </xf>
    <xf numFmtId="0" fontId="16" fillId="16" borderId="4" xfId="0" applyFont="1" applyFill="1" applyBorder="1" applyAlignment="1">
      <alignment horizontal="left"/>
    </xf>
    <xf numFmtId="0" fontId="6" fillId="17" borderId="4" xfId="0" applyFont="1" applyFill="1" applyBorder="1" applyAlignment="1"/>
    <xf numFmtId="0" fontId="16" fillId="15" borderId="4" xfId="0" applyFont="1" applyFill="1" applyBorder="1" applyAlignment="1"/>
    <xf numFmtId="0" fontId="16" fillId="17" borderId="4" xfId="0" applyFont="1" applyFill="1" applyBorder="1" applyAlignment="1"/>
    <xf numFmtId="0" fontId="6" fillId="0" borderId="0" xfId="0" applyFont="1" applyAlignment="1"/>
    <xf numFmtId="0" fontId="16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4" xfId="0" applyFont="1" applyBorder="1" applyAlignment="1"/>
    <xf numFmtId="0" fontId="13" fillId="0" borderId="4" xfId="0" applyFont="1" applyBorder="1" applyAlignment="1"/>
    <xf numFmtId="0" fontId="13" fillId="0" borderId="4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6" fillId="14" borderId="0" xfId="0" applyFont="1" applyFill="1" applyAlignment="1"/>
    <xf numFmtId="0" fontId="16" fillId="13" borderId="1" xfId="0" applyFont="1" applyFill="1" applyBorder="1" applyAlignment="1">
      <alignment horizontal="left"/>
    </xf>
    <xf numFmtId="0" fontId="16" fillId="13" borderId="3" xfId="0" applyFont="1" applyFill="1" applyBorder="1" applyAlignment="1">
      <alignment horizontal="left"/>
    </xf>
    <xf numFmtId="0" fontId="18" fillId="0" borderId="3" xfId="0" applyFont="1" applyBorder="1"/>
    <xf numFmtId="0" fontId="9" fillId="0" borderId="4" xfId="0" applyFont="1" applyBorder="1"/>
    <xf numFmtId="3" fontId="14" fillId="0" borderId="5" xfId="0" applyNumberFormat="1" applyFont="1" applyBorder="1" applyAlignment="1">
      <alignment horizontal="center"/>
    </xf>
    <xf numFmtId="3" fontId="16" fillId="17" borderId="4" xfId="0" applyNumberFormat="1" applyFont="1" applyFill="1" applyBorder="1" applyAlignment="1"/>
    <xf numFmtId="3" fontId="16" fillId="16" borderId="4" xfId="0" applyNumberFormat="1" applyFont="1" applyFill="1" applyBorder="1" applyAlignment="1"/>
    <xf numFmtId="3" fontId="17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3" xfId="0" applyNumberFormat="1" applyFont="1" applyBorder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6" fillId="17" borderId="4" xfId="0" applyNumberFormat="1" applyFont="1" applyFill="1" applyBorder="1" applyAlignment="1"/>
    <xf numFmtId="3" fontId="6" fillId="16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activeCell="F120" sqref="F120"/>
    </sheetView>
  </sheetViews>
  <sheetFormatPr baseColWidth="10" defaultColWidth="9.140625" defaultRowHeight="12.75" x14ac:dyDescent="0.2"/>
  <cols>
    <col min="1" max="1" width="40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110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327+50+420+365+129+5183</f>
        <v>6474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46700</v>
      </c>
      <c r="D4" s="2"/>
      <c r="E4" s="2"/>
      <c r="F4" s="2"/>
    </row>
    <row r="5" spans="1:6" x14ac:dyDescent="0.2">
      <c r="A5" s="2" t="s">
        <v>8</v>
      </c>
      <c r="B5" s="2">
        <v>31712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>
        <v>143</v>
      </c>
      <c r="D7" s="2"/>
      <c r="E7" s="2"/>
      <c r="F7" s="2"/>
    </row>
    <row r="8" spans="1:6" x14ac:dyDescent="0.2">
      <c r="A8" s="2" t="s">
        <v>11</v>
      </c>
      <c r="B8" s="2"/>
      <c r="C8" s="2">
        <v>1482</v>
      </c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/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12905</v>
      </c>
      <c r="E12" s="2"/>
      <c r="F12" s="2"/>
    </row>
    <row r="13" spans="1:6" x14ac:dyDescent="0.2">
      <c r="A13" s="2" t="s">
        <v>16</v>
      </c>
      <c r="B13" s="2"/>
      <c r="C13" s="2">
        <v>1043</v>
      </c>
      <c r="D13" s="2"/>
      <c r="E13" s="2"/>
      <c r="F13" s="2"/>
    </row>
    <row r="14" spans="1:6" x14ac:dyDescent="0.2">
      <c r="A14" s="2" t="s">
        <v>17</v>
      </c>
      <c r="B14" s="2"/>
      <c r="C14" s="2"/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>
        <v>639</v>
      </c>
      <c r="D19" s="2"/>
      <c r="E19" s="2"/>
      <c r="F19" s="2"/>
    </row>
    <row r="20" spans="1:6" x14ac:dyDescent="0.2">
      <c r="A20" s="2" t="s">
        <v>23</v>
      </c>
      <c r="B20" s="2"/>
      <c r="C20" s="2">
        <v>59</v>
      </c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>
        <f>33+103+21</f>
        <v>157</v>
      </c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150+9+120+25</f>
        <v>304</v>
      </c>
      <c r="D27" s="2"/>
      <c r="E27" s="2"/>
      <c r="F27" s="2"/>
    </row>
    <row r="28" spans="1:6" x14ac:dyDescent="0.2">
      <c r="A28" s="3" t="s">
        <v>30</v>
      </c>
      <c r="B28" s="3">
        <f>SUM(B3:B27)</f>
        <v>38186</v>
      </c>
      <c r="C28" s="3">
        <f>SUM(C3:C27)</f>
        <v>50527</v>
      </c>
      <c r="D28" s="3">
        <f>SUM(D3:D27)</f>
        <v>12905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1873</v>
      </c>
      <c r="C30" s="2"/>
      <c r="D30" s="2">
        <v>8414</v>
      </c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1675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8500</v>
      </c>
      <c r="C34" s="2"/>
      <c r="D34" s="2"/>
      <c r="E34" s="2"/>
      <c r="F34" s="2"/>
    </row>
    <row r="35" spans="1:6" x14ac:dyDescent="0.2">
      <c r="A35" s="2" t="s">
        <v>22</v>
      </c>
      <c r="B35" s="2"/>
      <c r="C35" s="2">
        <v>130</v>
      </c>
      <c r="D35" s="2"/>
      <c r="E35" s="2"/>
      <c r="F35" s="2"/>
    </row>
    <row r="36" spans="1:6" x14ac:dyDescent="0.2">
      <c r="A36" s="2" t="s">
        <v>35</v>
      </c>
      <c r="B36" s="2">
        <f>359+113</f>
        <v>472</v>
      </c>
      <c r="C36" s="2"/>
      <c r="D36" s="2"/>
      <c r="E36" s="2"/>
      <c r="F36" s="2"/>
    </row>
    <row r="37" spans="1:6" x14ac:dyDescent="0.2">
      <c r="A37" s="2" t="s">
        <v>36</v>
      </c>
      <c r="B37" s="2"/>
      <c r="C37" s="2">
        <f>28</f>
        <v>28</v>
      </c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10845</v>
      </c>
      <c r="C40" s="3">
        <f>SUM(C30:C39)</f>
        <v>158</v>
      </c>
      <c r="D40" s="3">
        <f>SUM(D30:D39)</f>
        <v>8414</v>
      </c>
      <c r="E40" s="3">
        <f>SUM(E30:E39)</f>
        <v>0</v>
      </c>
      <c r="F40" s="3">
        <f>SUM(F30:F39)</f>
        <v>1675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227</v>
      </c>
      <c r="C43" s="2"/>
      <c r="D43" s="2"/>
      <c r="E43" s="2"/>
      <c r="F43" s="2"/>
    </row>
    <row r="44" spans="1:6" x14ac:dyDescent="0.2">
      <c r="A44" s="2" t="s">
        <v>40</v>
      </c>
      <c r="B44" s="2"/>
      <c r="C44" s="2"/>
      <c r="D44" s="2"/>
      <c r="E44" s="2"/>
      <c r="F44" s="2"/>
    </row>
    <row r="45" spans="1:6" x14ac:dyDescent="0.2">
      <c r="A45" s="2" t="s">
        <v>41</v>
      </c>
      <c r="B45" s="2">
        <v>21</v>
      </c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>
        <v>121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369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/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>
        <f>1012+261+119+1+22+40+48</f>
        <v>1503</v>
      </c>
      <c r="D75" s="2"/>
      <c r="E75" s="2"/>
      <c r="F75" s="2"/>
    </row>
    <row r="76" spans="1:6" x14ac:dyDescent="0.2">
      <c r="A76" s="3" t="s">
        <v>60</v>
      </c>
      <c r="B76" s="3">
        <f>SUM(B66:B75)</f>
        <v>0</v>
      </c>
      <c r="C76" s="3">
        <f>SUM(C66:C75)</f>
        <v>1503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49400</v>
      </c>
      <c r="C78" s="7">
        <f>SUM(C3:C77)/2</f>
        <v>52188</v>
      </c>
      <c r="D78" s="7">
        <f>SUM(D3:D77)/2</f>
        <v>21319</v>
      </c>
      <c r="E78" s="7">
        <f>SUM(E3:E77)/2</f>
        <v>0</v>
      </c>
      <c r="F78" s="7">
        <f>SUM(F3:F77)/2</f>
        <v>1675</v>
      </c>
    </row>
    <row r="79" spans="1:6" ht="24.95" customHeight="1" x14ac:dyDescent="0.2">
      <c r="A79" s="3" t="s">
        <v>62</v>
      </c>
      <c r="B79" s="24">
        <f>SUM(B78:F78)</f>
        <v>124582</v>
      </c>
      <c r="C79" s="25"/>
      <c r="D79" s="25"/>
      <c r="E79" s="25"/>
      <c r="F79" s="25"/>
    </row>
    <row r="80" spans="1:6" x14ac:dyDescent="0.2">
      <c r="A80" s="38" t="s">
        <v>111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38186</v>
      </c>
      <c r="D82" s="26" t="s">
        <v>71</v>
      </c>
      <c r="E82" s="27"/>
      <c r="F82" s="17">
        <v>1</v>
      </c>
    </row>
    <row r="83" spans="1:6" x14ac:dyDescent="0.2">
      <c r="A83" s="12" t="s">
        <v>64</v>
      </c>
      <c r="B83" s="12">
        <f>B40</f>
        <v>10845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1</v>
      </c>
    </row>
    <row r="86" spans="1:6" x14ac:dyDescent="0.2">
      <c r="A86" s="12" t="s">
        <v>67</v>
      </c>
      <c r="B86" s="12">
        <f>B51</f>
        <v>369</v>
      </c>
      <c r="D86" s="26" t="s">
        <v>75</v>
      </c>
      <c r="E86" s="27"/>
      <c r="F86" s="17">
        <v>9</v>
      </c>
    </row>
    <row r="87" spans="1:6" x14ac:dyDescent="0.2">
      <c r="A87" s="12" t="s">
        <v>68</v>
      </c>
      <c r="B87" s="12">
        <f>B76</f>
        <v>0</v>
      </c>
      <c r="D87" s="26" t="s">
        <v>76</v>
      </c>
      <c r="E87" s="27"/>
      <c r="F87" s="17">
        <v>0</v>
      </c>
    </row>
    <row r="88" spans="1:6" x14ac:dyDescent="0.2">
      <c r="A88" s="13" t="s">
        <v>69</v>
      </c>
      <c r="B88" s="13">
        <f>SUM(B81:B87)</f>
        <v>49400</v>
      </c>
      <c r="D88" s="26" t="s">
        <v>77</v>
      </c>
      <c r="E88" s="27"/>
      <c r="F88" s="17">
        <v>6</v>
      </c>
    </row>
    <row r="89" spans="1:6" x14ac:dyDescent="0.2">
      <c r="D89" s="26" t="s">
        <v>78</v>
      </c>
      <c r="E89" s="27"/>
      <c r="F89" s="17">
        <v>0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18</v>
      </c>
    </row>
    <row r="91" spans="1:6" x14ac:dyDescent="0.2">
      <c r="A91" s="21" t="s">
        <v>7</v>
      </c>
      <c r="B91" s="21">
        <f>C4</f>
        <v>46700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1482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4006</v>
      </c>
      <c r="D93" s="26" t="s">
        <v>82</v>
      </c>
      <c r="E93" s="27"/>
      <c r="F93" s="17">
        <v>4</v>
      </c>
    </row>
    <row r="94" spans="1:6" x14ac:dyDescent="0.2">
      <c r="A94" s="21" t="s">
        <v>86</v>
      </c>
      <c r="B94" s="21">
        <f>C72</f>
        <v>0</v>
      </c>
      <c r="D94" s="28" t="s">
        <v>83</v>
      </c>
      <c r="E94" s="29"/>
      <c r="F94" s="18">
        <f>SUM(F82:F93)</f>
        <v>41</v>
      </c>
    </row>
    <row r="95" spans="1:6" x14ac:dyDescent="0.2">
      <c r="A95" s="22" t="s">
        <v>87</v>
      </c>
      <c r="B95" s="22">
        <f>SUM(B91:B94)</f>
        <v>52188</v>
      </c>
    </row>
    <row r="97" spans="1:6" x14ac:dyDescent="0.2">
      <c r="C97" s="39" t="s">
        <v>110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405</v>
      </c>
      <c r="C100" s="3">
        <v>1</v>
      </c>
      <c r="D100" s="3">
        <v>500</v>
      </c>
      <c r="E100" s="3"/>
      <c r="F100" s="3">
        <f>SUM(B100:E100)*2</f>
        <v>1812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97</v>
      </c>
      <c r="B102" s="3">
        <v>16</v>
      </c>
      <c r="C102" s="3">
        <v>75</v>
      </c>
      <c r="D102" s="3">
        <v>30</v>
      </c>
      <c r="E102" s="3">
        <v>22</v>
      </c>
      <c r="F102" s="3">
        <f>SUM(B102:E102)*2</f>
        <v>286</v>
      </c>
    </row>
    <row r="103" spans="1:6" x14ac:dyDescent="0.2">
      <c r="A103" s="3" t="s">
        <v>98</v>
      </c>
      <c r="B103" s="3">
        <v>241</v>
      </c>
      <c r="C103" s="3">
        <v>169</v>
      </c>
      <c r="D103" s="3">
        <v>50</v>
      </c>
      <c r="E103" s="3">
        <v>76</v>
      </c>
      <c r="F103" s="3">
        <f>SUM(B103:E103)</f>
        <v>536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662</v>
      </c>
      <c r="C109" s="23">
        <f>SUM(C99:C108)</f>
        <v>245</v>
      </c>
      <c r="D109" s="23">
        <f>SUM(D99:D108)</f>
        <v>580</v>
      </c>
      <c r="E109" s="23">
        <f>SUM(E99:E108)</f>
        <v>98</v>
      </c>
      <c r="F109" s="23">
        <f>SUM(F100:F108)</f>
        <v>2634</v>
      </c>
    </row>
    <row r="110" spans="1:6" ht="15.75" x14ac:dyDescent="0.25">
      <c r="A110" s="3" t="s">
        <v>105</v>
      </c>
      <c r="B110" s="32">
        <f>SUM(B109:E109)</f>
        <v>1585</v>
      </c>
      <c r="C110" s="33"/>
      <c r="D110" s="33"/>
      <c r="E110" s="34"/>
    </row>
  </sheetData>
  <sheetProtection sheet="1" objects="1" scenarios="1"/>
  <mergeCells count="17">
    <mergeCell ref="A98:F98"/>
    <mergeCell ref="B110:E110"/>
    <mergeCell ref="D94:E94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A76" workbookViewId="0">
      <selection activeCell="A102" sqref="A102:E102"/>
    </sheetView>
  </sheetViews>
  <sheetFormatPr baseColWidth="10" defaultColWidth="9.140625" defaultRowHeight="12.75" x14ac:dyDescent="0.2"/>
  <cols>
    <col min="1" max="1" width="54.85546875" bestFit="1" customWidth="1"/>
    <col min="2" max="2" width="18.28515625" bestFit="1" customWidth="1"/>
    <col min="3" max="3" width="19.425781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138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151+818+2697+514</f>
        <v>4180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56700</v>
      </c>
      <c r="D4" s="2">
        <v>56700</v>
      </c>
      <c r="E4" s="2"/>
      <c r="F4" s="2"/>
    </row>
    <row r="5" spans="1:6" x14ac:dyDescent="0.2">
      <c r="A5" s="2" t="s">
        <v>8</v>
      </c>
      <c r="B5" s="2">
        <v>28004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>
        <v>143</v>
      </c>
      <c r="D7" s="2"/>
      <c r="E7" s="2"/>
      <c r="F7" s="2"/>
    </row>
    <row r="8" spans="1:6" x14ac:dyDescent="0.2">
      <c r="A8" s="2" t="s">
        <v>11</v>
      </c>
      <c r="B8" s="2"/>
      <c r="C8" s="2">
        <v>2013</v>
      </c>
      <c r="D8" s="2"/>
      <c r="E8" s="2"/>
      <c r="F8" s="2"/>
    </row>
    <row r="9" spans="1:6" x14ac:dyDescent="0.2">
      <c r="A9" s="2" t="s">
        <v>12</v>
      </c>
      <c r="B9" s="2"/>
      <c r="C9" s="2">
        <v>24</v>
      </c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/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10917</v>
      </c>
      <c r="E12" s="2"/>
      <c r="F12" s="2"/>
    </row>
    <row r="13" spans="1:6" x14ac:dyDescent="0.2">
      <c r="A13" s="2" t="s">
        <v>16</v>
      </c>
      <c r="B13" s="2"/>
      <c r="C13" s="2">
        <v>549</v>
      </c>
      <c r="D13" s="2"/>
      <c r="E13" s="2"/>
      <c r="F13" s="2"/>
    </row>
    <row r="14" spans="1:6" x14ac:dyDescent="0.2">
      <c r="A14" s="2" t="s">
        <v>17</v>
      </c>
      <c r="B14" s="2"/>
      <c r="C14" s="2">
        <v>186</v>
      </c>
      <c r="D14" s="2"/>
      <c r="E14" s="2"/>
      <c r="F14" s="2"/>
    </row>
    <row r="15" spans="1:6" x14ac:dyDescent="0.2">
      <c r="A15" s="2" t="s">
        <v>18</v>
      </c>
      <c r="B15" s="2"/>
      <c r="C15" s="2">
        <v>519</v>
      </c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>
        <v>189</v>
      </c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>
        <f>21+300</f>
        <v>321</v>
      </c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40">
        <f>14+200+513+25+25+199</f>
        <v>976</v>
      </c>
      <c r="D27" s="2"/>
      <c r="E27" s="2"/>
      <c r="F27" s="2"/>
    </row>
    <row r="28" spans="1:6" x14ac:dyDescent="0.2">
      <c r="A28" s="3" t="s">
        <v>30</v>
      </c>
      <c r="B28" s="3">
        <f>SUM(B3:B27)</f>
        <v>32184</v>
      </c>
      <c r="C28" s="3">
        <f>SUM(C3:C27)</f>
        <v>61620</v>
      </c>
      <c r="D28" s="3">
        <f>SUM(D3:D27)</f>
        <v>67617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397</v>
      </c>
      <c r="C30" s="2"/>
      <c r="D30" s="2"/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8120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22218</v>
      </c>
      <c r="C34" s="2">
        <v>110</v>
      </c>
      <c r="D34" s="2">
        <v>23597</v>
      </c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>
        <f>734+85</f>
        <v>819</v>
      </c>
      <c r="C36" s="2"/>
      <c r="D36" s="2">
        <v>786</v>
      </c>
      <c r="E36" s="2"/>
      <c r="F36" s="2"/>
    </row>
    <row r="37" spans="1:6" x14ac:dyDescent="0.2">
      <c r="A37" s="2" t="s">
        <v>36</v>
      </c>
      <c r="B37" s="2">
        <v>23</v>
      </c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>
        <v>109</v>
      </c>
      <c r="D39" s="2"/>
      <c r="E39" s="2"/>
      <c r="F39" s="2"/>
    </row>
    <row r="40" spans="1:6" x14ac:dyDescent="0.2">
      <c r="A40" s="3" t="s">
        <v>37</v>
      </c>
      <c r="B40" s="3">
        <f>SUM(B30:B39)</f>
        <v>23457</v>
      </c>
      <c r="C40" s="3">
        <f>SUM(C30:C39)</f>
        <v>219</v>
      </c>
      <c r="D40" s="3">
        <f>SUM(D30:D39)</f>
        <v>24383</v>
      </c>
      <c r="E40" s="3">
        <f>SUM(E30:E39)</f>
        <v>0</v>
      </c>
      <c r="F40" s="3">
        <f>SUM(F30:F39)</f>
        <v>8120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>
        <v>16</v>
      </c>
      <c r="C42" s="2"/>
      <c r="D42" s="2"/>
      <c r="E42" s="2"/>
      <c r="F42" s="2"/>
    </row>
    <row r="43" spans="1:6" x14ac:dyDescent="0.2">
      <c r="A43" s="2" t="s">
        <v>39</v>
      </c>
      <c r="B43" s="2">
        <v>137</v>
      </c>
      <c r="C43" s="2"/>
      <c r="D43" s="2"/>
      <c r="E43" s="2"/>
      <c r="F43" s="2"/>
    </row>
    <row r="44" spans="1:6" x14ac:dyDescent="0.2">
      <c r="A44" s="2" t="s">
        <v>40</v>
      </c>
      <c r="B44" s="2">
        <v>25</v>
      </c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>
        <v>40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218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/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>
        <v>206</v>
      </c>
      <c r="C75" s="2">
        <v>838</v>
      </c>
      <c r="D75" s="2"/>
      <c r="E75" s="2"/>
      <c r="F75" s="2"/>
    </row>
    <row r="76" spans="1:6" x14ac:dyDescent="0.2">
      <c r="A76" s="3" t="s">
        <v>60</v>
      </c>
      <c r="B76" s="3">
        <f>SUM(B66:B75)</f>
        <v>206</v>
      </c>
      <c r="C76" s="3">
        <f>SUM(C66:C75)</f>
        <v>838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56065</v>
      </c>
      <c r="C78" s="7">
        <f>SUM(C3:C77)/2</f>
        <v>62677</v>
      </c>
      <c r="D78" s="7">
        <f>SUM(D3:D77)/2</f>
        <v>92000</v>
      </c>
      <c r="E78" s="7">
        <f>SUM(E3:E77)/2</f>
        <v>0</v>
      </c>
      <c r="F78" s="7">
        <f>SUM(F3:F77)/2</f>
        <v>8120</v>
      </c>
    </row>
    <row r="79" spans="1:6" ht="24.95" customHeight="1" x14ac:dyDescent="0.2">
      <c r="A79" s="3" t="s">
        <v>62</v>
      </c>
      <c r="B79" s="24">
        <f>SUM(B78:F78)</f>
        <v>218862</v>
      </c>
      <c r="C79" s="25"/>
      <c r="D79" s="25"/>
      <c r="E79" s="25"/>
      <c r="F79" s="25"/>
    </row>
    <row r="80" spans="1:6" x14ac:dyDescent="0.2">
      <c r="A80" s="38" t="s">
        <v>139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32184</v>
      </c>
      <c r="D82" s="26" t="s">
        <v>71</v>
      </c>
      <c r="E82" s="27"/>
      <c r="F82" s="17">
        <v>0</v>
      </c>
    </row>
    <row r="83" spans="1:6" x14ac:dyDescent="0.2">
      <c r="A83" s="12" t="s">
        <v>64</v>
      </c>
      <c r="B83" s="12">
        <f>B40</f>
        <v>23457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4</v>
      </c>
    </row>
    <row r="86" spans="1:6" x14ac:dyDescent="0.2">
      <c r="A86" s="12" t="s">
        <v>67</v>
      </c>
      <c r="B86" s="12">
        <f>B51</f>
        <v>218</v>
      </c>
      <c r="D86" s="26" t="s">
        <v>75</v>
      </c>
      <c r="E86" s="27"/>
      <c r="F86" s="17">
        <v>0</v>
      </c>
    </row>
    <row r="87" spans="1:6" x14ac:dyDescent="0.2">
      <c r="A87" s="12" t="s">
        <v>68</v>
      </c>
      <c r="B87" s="12">
        <f>B76</f>
        <v>206</v>
      </c>
      <c r="D87" s="26" t="s">
        <v>76</v>
      </c>
      <c r="E87" s="27"/>
      <c r="F87" s="17">
        <v>185</v>
      </c>
    </row>
    <row r="88" spans="1:6" x14ac:dyDescent="0.2">
      <c r="A88" s="13" t="s">
        <v>69</v>
      </c>
      <c r="B88" s="13">
        <f>SUM(B81:B87)</f>
        <v>56065</v>
      </c>
      <c r="D88" s="26" t="s">
        <v>77</v>
      </c>
      <c r="E88" s="27"/>
      <c r="F88" s="17">
        <v>4</v>
      </c>
    </row>
    <row r="89" spans="1:6" x14ac:dyDescent="0.2">
      <c r="D89" s="26" t="s">
        <v>78</v>
      </c>
      <c r="E89" s="27"/>
      <c r="F89" s="17">
        <v>188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0</v>
      </c>
    </row>
    <row r="91" spans="1:6" x14ac:dyDescent="0.2">
      <c r="A91" s="21" t="s">
        <v>7</v>
      </c>
      <c r="B91" s="21">
        <f>C4</f>
        <v>56700</v>
      </c>
      <c r="D91" s="26" t="s">
        <v>80</v>
      </c>
      <c r="E91" s="27"/>
      <c r="F91" s="17">
        <v>4</v>
      </c>
    </row>
    <row r="92" spans="1:6" x14ac:dyDescent="0.2">
      <c r="A92" s="21" t="s">
        <v>11</v>
      </c>
      <c r="B92" s="21">
        <f>C8</f>
        <v>2013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3964</v>
      </c>
      <c r="D93" s="26" t="s">
        <v>82</v>
      </c>
      <c r="E93" s="27"/>
      <c r="F93" s="17">
        <v>4</v>
      </c>
    </row>
    <row r="94" spans="1:6" x14ac:dyDescent="0.2">
      <c r="A94" s="21" t="s">
        <v>86</v>
      </c>
      <c r="B94" s="21">
        <f>C72</f>
        <v>0</v>
      </c>
      <c r="D94" s="28" t="s">
        <v>83</v>
      </c>
      <c r="E94" s="29"/>
      <c r="F94" s="18">
        <f>SUM(F82:F93)</f>
        <v>389</v>
      </c>
    </row>
    <row r="95" spans="1:6" x14ac:dyDescent="0.2">
      <c r="A95" s="22" t="s">
        <v>87</v>
      </c>
      <c r="B95" s="22">
        <f>SUM(B91:B94)</f>
        <v>62677</v>
      </c>
    </row>
    <row r="97" spans="1:6" x14ac:dyDescent="0.2">
      <c r="C97" s="39" t="s">
        <v>138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881</v>
      </c>
      <c r="C100" s="3">
        <v>1</v>
      </c>
      <c r="D100" s="3">
        <v>690</v>
      </c>
      <c r="E100" s="3">
        <v>100</v>
      </c>
      <c r="F100" s="3">
        <f>SUM(B100:E100)*2</f>
        <v>3344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146</v>
      </c>
      <c r="C102" s="3">
        <v>191</v>
      </c>
      <c r="D102" s="3">
        <v>100</v>
      </c>
      <c r="E102" s="3">
        <v>36</v>
      </c>
      <c r="F102" s="3">
        <f>SUM(B102:E102)</f>
        <v>473</v>
      </c>
    </row>
    <row r="103" spans="1:6" x14ac:dyDescent="0.2">
      <c r="A103" s="3" t="s">
        <v>97</v>
      </c>
      <c r="B103" s="3">
        <v>31</v>
      </c>
      <c r="C103" s="3">
        <v>77</v>
      </c>
      <c r="D103" s="3">
        <v>10</v>
      </c>
      <c r="E103" s="3"/>
      <c r="F103" s="3">
        <f>SUM(B103:E103)*2</f>
        <v>236</v>
      </c>
    </row>
    <row r="104" spans="1:6" x14ac:dyDescent="0.2">
      <c r="A104" s="3" t="s">
        <v>106</v>
      </c>
      <c r="B104" s="3"/>
      <c r="C104" s="3"/>
      <c r="D104" s="3"/>
      <c r="E104" s="3"/>
      <c r="F104" s="3">
        <f>SUM(B104:E104)*2</f>
        <v>0</v>
      </c>
    </row>
    <row r="105" spans="1:6" s="1" customFormat="1" x14ac:dyDescent="0.2">
      <c r="A105" s="3" t="s">
        <v>99</v>
      </c>
      <c r="B105" s="2"/>
      <c r="C105" s="2"/>
      <c r="D105" s="2"/>
      <c r="E105" s="2">
        <v>90</v>
      </c>
      <c r="F105" s="2">
        <f>SUM(B105:E105)*2</f>
        <v>180</v>
      </c>
    </row>
    <row r="106" spans="1:6" x14ac:dyDescent="0.2">
      <c r="A106" s="3" t="s">
        <v>100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101</v>
      </c>
      <c r="B107" s="2"/>
      <c r="C107" s="2"/>
      <c r="D107" s="2"/>
      <c r="E107" s="2"/>
      <c r="F107" s="2">
        <f>SUM(B107:E107)*2</f>
        <v>0</v>
      </c>
    </row>
    <row r="108" spans="1:6" s="1" customFormat="1" x14ac:dyDescent="0.2">
      <c r="A108" s="3" t="s">
        <v>102</v>
      </c>
      <c r="B108" s="2"/>
      <c r="C108" s="2"/>
      <c r="D108" s="2"/>
      <c r="E108" s="2"/>
      <c r="F108" s="2">
        <f>SUM(B108:E108)</f>
        <v>0</v>
      </c>
    </row>
    <row r="109" spans="1:6" s="1" customFormat="1" x14ac:dyDescent="0.2">
      <c r="A109" s="3" t="s">
        <v>103</v>
      </c>
      <c r="B109" s="2"/>
      <c r="C109" s="2"/>
      <c r="D109" s="2"/>
      <c r="E109" s="2"/>
      <c r="F109" s="2">
        <f>SUM(B109:E109)</f>
        <v>0</v>
      </c>
    </row>
    <row r="110" spans="1:6" x14ac:dyDescent="0.2">
      <c r="A110" s="23" t="s">
        <v>104</v>
      </c>
      <c r="B110" s="23">
        <f>SUM(B99:B109)</f>
        <v>1058</v>
      </c>
      <c r="C110" s="23">
        <f>SUM(C99:C109)</f>
        <v>269</v>
      </c>
      <c r="D110" s="23">
        <f>SUM(D99:D109)</f>
        <v>800</v>
      </c>
      <c r="E110" s="23">
        <f>SUM(E99:E109)</f>
        <v>226</v>
      </c>
      <c r="F110" s="23">
        <f>SUM(F99:F109)</f>
        <v>4233</v>
      </c>
    </row>
    <row r="111" spans="1:6" ht="15.75" x14ac:dyDescent="0.25">
      <c r="A111" s="3" t="s">
        <v>105</v>
      </c>
      <c r="B111" s="32">
        <f>SUM(B110:E110)</f>
        <v>2353</v>
      </c>
      <c r="C111" s="33"/>
      <c r="D111" s="33"/>
      <c r="E111" s="34"/>
    </row>
  </sheetData>
  <sheetProtection sheet="1" objects="1" scenarios="1"/>
  <mergeCells count="17">
    <mergeCell ref="B111:E111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ignoredErrors>
    <ignoredError sqref="F10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5" workbookViewId="0">
      <selection activeCell="A115" sqref="A115:F126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140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162+703+1743+514</f>
        <v>3122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47600</v>
      </c>
      <c r="D4" s="2"/>
      <c r="E4" s="2"/>
      <c r="F4" s="2"/>
    </row>
    <row r="5" spans="1:6" x14ac:dyDescent="0.2">
      <c r="A5" s="2" t="s">
        <v>8</v>
      </c>
      <c r="B5" s="2">
        <v>38084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>
        <v>1975</v>
      </c>
      <c r="D8" s="2"/>
      <c r="E8" s="2"/>
      <c r="F8" s="2"/>
    </row>
    <row r="9" spans="1:6" x14ac:dyDescent="0.2">
      <c r="A9" s="2" t="s">
        <v>12</v>
      </c>
      <c r="B9" s="2"/>
      <c r="C9" s="2">
        <v>24</v>
      </c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/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16017</v>
      </c>
      <c r="E12" s="2"/>
      <c r="F12" s="2"/>
    </row>
    <row r="13" spans="1:6" x14ac:dyDescent="0.2">
      <c r="A13" s="2" t="s">
        <v>16</v>
      </c>
      <c r="B13" s="2"/>
      <c r="C13" s="2"/>
      <c r="D13" s="2"/>
      <c r="E13" s="2"/>
      <c r="F13" s="2"/>
    </row>
    <row r="14" spans="1:6" x14ac:dyDescent="0.2">
      <c r="A14" s="2" t="s">
        <v>17</v>
      </c>
      <c r="B14" s="2">
        <v>0</v>
      </c>
      <c r="C14" s="2"/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/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100+21</f>
        <v>121</v>
      </c>
      <c r="D27" s="2"/>
      <c r="E27" s="2"/>
      <c r="F27" s="2"/>
    </row>
    <row r="28" spans="1:6" x14ac:dyDescent="0.2">
      <c r="A28" s="3" t="s">
        <v>30</v>
      </c>
      <c r="B28" s="3">
        <f>SUM(B3:B27)</f>
        <v>41206</v>
      </c>
      <c r="C28" s="3">
        <f>SUM(C3:C27)</f>
        <v>49720</v>
      </c>
      <c r="D28" s="3">
        <f>SUM(D3:D27)</f>
        <v>16017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209</v>
      </c>
      <c r="C30" s="2"/>
      <c r="D30" s="2"/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519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7618</v>
      </c>
      <c r="C34" s="2"/>
      <c r="D34" s="2">
        <v>1028</v>
      </c>
      <c r="E34" s="2"/>
      <c r="F34" s="2"/>
    </row>
    <row r="35" spans="1:6" x14ac:dyDescent="0.2">
      <c r="A35" s="2" t="s">
        <v>22</v>
      </c>
      <c r="B35" s="2">
        <v>12</v>
      </c>
      <c r="C35" s="2"/>
      <c r="D35" s="2"/>
      <c r="E35" s="2"/>
      <c r="F35" s="2"/>
    </row>
    <row r="36" spans="1:6" x14ac:dyDescent="0.2">
      <c r="A36" s="2" t="s">
        <v>35</v>
      </c>
      <c r="B36" s="2">
        <v>840</v>
      </c>
      <c r="C36" s="2"/>
      <c r="D36" s="2"/>
      <c r="E36" s="2"/>
      <c r="F36" s="2"/>
    </row>
    <row r="37" spans="1:6" x14ac:dyDescent="0.2">
      <c r="A37" s="2" t="s">
        <v>36</v>
      </c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8679</v>
      </c>
      <c r="C40" s="3">
        <f>SUM(C30:C39)</f>
        <v>0</v>
      </c>
      <c r="D40" s="3">
        <f>SUM(D30:D39)</f>
        <v>1028</v>
      </c>
      <c r="E40" s="3">
        <f>SUM(E30:E39)</f>
        <v>0</v>
      </c>
      <c r="F40" s="3">
        <f>SUM(F30:F39)</f>
        <v>519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114</v>
      </c>
      <c r="C43" s="2"/>
      <c r="D43" s="2"/>
      <c r="E43" s="2"/>
      <c r="F43" s="2"/>
    </row>
    <row r="44" spans="1:6" x14ac:dyDescent="0.2">
      <c r="A44" s="2" t="s">
        <v>40</v>
      </c>
      <c r="B44" s="2"/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>
        <v>105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>
        <v>26</v>
      </c>
      <c r="D50" s="2"/>
      <c r="E50" s="2"/>
      <c r="F50" s="2"/>
    </row>
    <row r="51" spans="1:6" x14ac:dyDescent="0.2">
      <c r="A51" s="3" t="s">
        <v>45</v>
      </c>
      <c r="B51" s="3">
        <f>SUM(B42:B50)</f>
        <v>219</v>
      </c>
      <c r="C51" s="3">
        <f>SUM(C42:C50)</f>
        <v>26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/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>
        <v>206</v>
      </c>
      <c r="C75" s="2"/>
      <c r="D75" s="2"/>
      <c r="E75" s="2"/>
      <c r="F75" s="2"/>
    </row>
    <row r="76" spans="1:6" x14ac:dyDescent="0.2">
      <c r="A76" s="3" t="s">
        <v>60</v>
      </c>
      <c r="B76" s="3">
        <f>SUM(B66:B75)</f>
        <v>206</v>
      </c>
      <c r="C76" s="3">
        <f>SUM(C66:C75)</f>
        <v>0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50310</v>
      </c>
      <c r="C78" s="7">
        <f>SUM(C3:C77)/2</f>
        <v>49746</v>
      </c>
      <c r="D78" s="7">
        <f>SUM(D3:D77)/2</f>
        <v>17045</v>
      </c>
      <c r="E78" s="7">
        <f>SUM(E3:E77)/2</f>
        <v>0</v>
      </c>
      <c r="F78" s="7">
        <f>SUM(F3:F77)/2</f>
        <v>519</v>
      </c>
    </row>
    <row r="79" spans="1:6" ht="24.95" customHeight="1" x14ac:dyDescent="0.2">
      <c r="A79" s="3" t="s">
        <v>62</v>
      </c>
      <c r="B79" s="24">
        <f>SUM(B78:F78)</f>
        <v>117620</v>
      </c>
      <c r="C79" s="25"/>
      <c r="D79" s="25"/>
      <c r="E79" s="25"/>
      <c r="F79" s="25"/>
    </row>
    <row r="80" spans="1:6" x14ac:dyDescent="0.2">
      <c r="A80" s="38" t="s">
        <v>141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41206</v>
      </c>
      <c r="D82" s="26" t="s">
        <v>71</v>
      </c>
      <c r="E82" s="27"/>
      <c r="F82" s="17">
        <v>1</v>
      </c>
    </row>
    <row r="83" spans="1:6" x14ac:dyDescent="0.2">
      <c r="A83" s="12" t="s">
        <v>64</v>
      </c>
      <c r="B83" s="12">
        <f>B40</f>
        <v>8679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2</v>
      </c>
    </row>
    <row r="86" spans="1:6" x14ac:dyDescent="0.2">
      <c r="A86" s="12" t="s">
        <v>67</v>
      </c>
      <c r="B86" s="12">
        <f>B51</f>
        <v>219</v>
      </c>
      <c r="D86" s="26" t="s">
        <v>75</v>
      </c>
      <c r="E86" s="27"/>
      <c r="F86" s="17">
        <v>3</v>
      </c>
    </row>
    <row r="87" spans="1:6" x14ac:dyDescent="0.2">
      <c r="A87" s="12" t="s">
        <v>68</v>
      </c>
      <c r="B87" s="12">
        <f>B76</f>
        <v>206</v>
      </c>
      <c r="D87" s="26" t="s">
        <v>76</v>
      </c>
      <c r="E87" s="27"/>
      <c r="F87" s="17">
        <v>4</v>
      </c>
    </row>
    <row r="88" spans="1:6" x14ac:dyDescent="0.2">
      <c r="A88" s="13" t="s">
        <v>69</v>
      </c>
      <c r="B88" s="13">
        <f>SUM(B81:B87)</f>
        <v>50310</v>
      </c>
      <c r="D88" s="26" t="s">
        <v>77</v>
      </c>
      <c r="E88" s="27"/>
      <c r="F88" s="17">
        <v>2</v>
      </c>
    </row>
    <row r="89" spans="1:6" x14ac:dyDescent="0.2">
      <c r="D89" s="26" t="s">
        <v>78</v>
      </c>
      <c r="E89" s="27"/>
      <c r="F89" s="17">
        <v>35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0</v>
      </c>
    </row>
    <row r="91" spans="1:6" x14ac:dyDescent="0.2">
      <c r="A91" s="21" t="s">
        <v>7</v>
      </c>
      <c r="B91" s="21">
        <f>C4</f>
        <v>47600</v>
      </c>
      <c r="D91" s="26" t="s">
        <v>80</v>
      </c>
      <c r="E91" s="27"/>
      <c r="F91" s="17">
        <v>1</v>
      </c>
    </row>
    <row r="92" spans="1:6" x14ac:dyDescent="0.2">
      <c r="A92" s="21" t="s">
        <v>11</v>
      </c>
      <c r="B92" s="21">
        <f>C8</f>
        <v>1975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171</v>
      </c>
      <c r="D93" s="26" t="s">
        <v>82</v>
      </c>
      <c r="E93" s="27"/>
      <c r="F93" s="17">
        <v>3</v>
      </c>
    </row>
    <row r="94" spans="1:6" x14ac:dyDescent="0.2">
      <c r="A94" s="21" t="s">
        <v>86</v>
      </c>
      <c r="B94" s="21">
        <f>C72</f>
        <v>0</v>
      </c>
      <c r="D94" s="28" t="s">
        <v>83</v>
      </c>
      <c r="E94" s="29"/>
      <c r="F94" s="18">
        <f>SUM(F82:F93)</f>
        <v>51</v>
      </c>
    </row>
    <row r="95" spans="1:6" x14ac:dyDescent="0.2">
      <c r="A95" s="22" t="s">
        <v>87</v>
      </c>
      <c r="B95" s="22">
        <f>SUM(B91:B94)</f>
        <v>49746</v>
      </c>
    </row>
    <row r="97" spans="1:6" x14ac:dyDescent="0.2">
      <c r="C97" s="39" t="s">
        <v>140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327</v>
      </c>
      <c r="C100" s="3">
        <v>2</v>
      </c>
      <c r="D100" s="3">
        <v>273</v>
      </c>
      <c r="E100" s="3">
        <v>10</v>
      </c>
      <c r="F100" s="3">
        <f>SUM(B100:E100)*2</f>
        <v>1224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125</v>
      </c>
      <c r="C102" s="3">
        <v>104</v>
      </c>
      <c r="D102" s="3">
        <v>50</v>
      </c>
      <c r="E102" s="3">
        <v>79</v>
      </c>
      <c r="F102" s="3">
        <f>SUM(B102:E102)</f>
        <v>358</v>
      </c>
    </row>
    <row r="103" spans="1:6" x14ac:dyDescent="0.2">
      <c r="A103" s="3" t="s">
        <v>97</v>
      </c>
      <c r="B103" s="3">
        <v>15</v>
      </c>
      <c r="C103" s="3">
        <v>1</v>
      </c>
      <c r="D103" s="3"/>
      <c r="E103" s="3"/>
      <c r="F103" s="3">
        <f>SUM(B103:E103)*2</f>
        <v>32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467</v>
      </c>
      <c r="C109" s="23">
        <f>SUM(C99:C108)</f>
        <v>107</v>
      </c>
      <c r="D109" s="23">
        <f>SUM(D99:D108)</f>
        <v>323</v>
      </c>
      <c r="E109" s="23">
        <f>SUM(E99:E108)</f>
        <v>89</v>
      </c>
      <c r="F109" s="23">
        <f>SUM(F99:F108)</f>
        <v>1614</v>
      </c>
    </row>
    <row r="110" spans="1:6" ht="15.75" x14ac:dyDescent="0.25">
      <c r="A110" s="3" t="s">
        <v>105</v>
      </c>
      <c r="B110" s="32">
        <f>SUM(B109:E109)</f>
        <v>986</v>
      </c>
      <c r="C110" s="33"/>
      <c r="D110" s="33"/>
      <c r="E110" s="34"/>
    </row>
  </sheetData>
  <sheetProtection sheet="1" objects="1" scenarios="1"/>
  <mergeCells count="17">
    <mergeCell ref="B110:E110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2" workbookViewId="0">
      <selection activeCell="I110" sqref="I110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142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/>
      <c r="C3" s="2"/>
      <c r="D3" s="2"/>
      <c r="E3" s="2"/>
      <c r="F3" s="2"/>
    </row>
    <row r="4" spans="1:6" x14ac:dyDescent="0.2">
      <c r="A4" s="2" t="s">
        <v>7</v>
      </c>
      <c r="B4" s="2"/>
      <c r="C4" s="2">
        <v>59400</v>
      </c>
      <c r="D4" s="2"/>
      <c r="E4" s="2"/>
      <c r="F4" s="2"/>
    </row>
    <row r="5" spans="1:6" x14ac:dyDescent="0.2">
      <c r="A5" s="2" t="s">
        <v>8</v>
      </c>
      <c r="B5" s="2">
        <v>33031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/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/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17024</v>
      </c>
      <c r="E12" s="2"/>
      <c r="F12" s="2"/>
    </row>
    <row r="13" spans="1:6" x14ac:dyDescent="0.2">
      <c r="A13" s="2" t="s">
        <v>16</v>
      </c>
      <c r="B13" s="2"/>
      <c r="C13" s="2"/>
      <c r="D13" s="2"/>
      <c r="E13" s="2"/>
      <c r="F13" s="2"/>
    </row>
    <row r="14" spans="1:6" x14ac:dyDescent="0.2">
      <c r="A14" s="2" t="s">
        <v>17</v>
      </c>
      <c r="B14" s="2"/>
      <c r="C14" s="2"/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/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/>
      <c r="D27" s="2"/>
      <c r="E27" s="2"/>
      <c r="F27" s="2"/>
    </row>
    <row r="28" spans="1:6" x14ac:dyDescent="0.2">
      <c r="A28" s="3" t="s">
        <v>30</v>
      </c>
      <c r="B28" s="3">
        <f>SUM(B3:B27)</f>
        <v>33031</v>
      </c>
      <c r="C28" s="3">
        <f>SUM(C3:C27)</f>
        <v>59400</v>
      </c>
      <c r="D28" s="3">
        <f>SUM(D3:D27)</f>
        <v>17024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/>
      <c r="C30" s="2"/>
      <c r="D30" s="2"/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274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/>
      <c r="C34" s="2"/>
      <c r="D34" s="2"/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/>
      <c r="C36" s="2"/>
      <c r="D36" s="2">
        <v>224</v>
      </c>
      <c r="E36" s="2"/>
      <c r="F36" s="2"/>
    </row>
    <row r="37" spans="1:6" x14ac:dyDescent="0.2">
      <c r="A37" s="2" t="s">
        <v>36</v>
      </c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0</v>
      </c>
      <c r="C40" s="3">
        <f>SUM(C30:C39)</f>
        <v>0</v>
      </c>
      <c r="D40" s="3">
        <f>SUM(D30:D39)</f>
        <v>224</v>
      </c>
      <c r="E40" s="3">
        <f>SUM(E30:E39)</f>
        <v>0</v>
      </c>
      <c r="F40" s="3">
        <f>SUM(F30:F39)</f>
        <v>274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/>
      <c r="C43" s="2"/>
      <c r="D43" s="2"/>
      <c r="E43" s="2"/>
      <c r="F43" s="2"/>
    </row>
    <row r="44" spans="1:6" x14ac:dyDescent="0.2">
      <c r="A44" s="2" t="s">
        <v>40</v>
      </c>
      <c r="B44" s="2"/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0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>
        <v>81</v>
      </c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/>
      <c r="D75" s="2"/>
      <c r="E75" s="2"/>
      <c r="F75" s="2"/>
    </row>
    <row r="76" spans="1:6" x14ac:dyDescent="0.2">
      <c r="A76" s="3" t="s">
        <v>60</v>
      </c>
      <c r="B76" s="3">
        <f>SUM(B66:B75)</f>
        <v>0</v>
      </c>
      <c r="C76" s="3">
        <f>SUM(C66:C75)</f>
        <v>81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33031</v>
      </c>
      <c r="C78" s="7">
        <f>SUM(C3:C77)/2</f>
        <v>59481</v>
      </c>
      <c r="D78" s="7">
        <f>SUM(D3:D77)/2</f>
        <v>17248</v>
      </c>
      <c r="E78" s="7">
        <f>SUM(E3:E77)/2</f>
        <v>0</v>
      </c>
      <c r="F78" s="7">
        <f>SUM(F3:F77)/2</f>
        <v>274</v>
      </c>
    </row>
    <row r="79" spans="1:6" ht="24.95" customHeight="1" x14ac:dyDescent="0.2">
      <c r="A79" s="3" t="s">
        <v>62</v>
      </c>
      <c r="B79" s="24">
        <f>SUM(B78:F78)</f>
        <v>110034</v>
      </c>
      <c r="C79" s="25"/>
      <c r="D79" s="25"/>
      <c r="E79" s="25"/>
      <c r="F79" s="25"/>
    </row>
    <row r="80" spans="1:6" x14ac:dyDescent="0.2">
      <c r="A80" s="8" t="s">
        <v>107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33031</v>
      </c>
      <c r="D82" s="26" t="s">
        <v>71</v>
      </c>
      <c r="E82" s="27"/>
      <c r="F82" s="17">
        <v>1</v>
      </c>
    </row>
    <row r="83" spans="1:6" x14ac:dyDescent="0.2">
      <c r="A83" s="12" t="s">
        <v>64</v>
      </c>
      <c r="B83" s="12">
        <f>B40</f>
        <v>0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2</v>
      </c>
    </row>
    <row r="86" spans="1:6" x14ac:dyDescent="0.2">
      <c r="A86" s="12" t="s">
        <v>67</v>
      </c>
      <c r="B86" s="12">
        <f>B51</f>
        <v>0</v>
      </c>
      <c r="D86" s="26" t="s">
        <v>75</v>
      </c>
      <c r="E86" s="27"/>
      <c r="F86" s="17">
        <v>1</v>
      </c>
    </row>
    <row r="87" spans="1:6" x14ac:dyDescent="0.2">
      <c r="A87" s="12" t="s">
        <v>68</v>
      </c>
      <c r="B87" s="12">
        <f>B76</f>
        <v>0</v>
      </c>
      <c r="D87" s="26" t="s">
        <v>76</v>
      </c>
      <c r="E87" s="27"/>
      <c r="F87" s="17">
        <v>0</v>
      </c>
    </row>
    <row r="88" spans="1:6" x14ac:dyDescent="0.2">
      <c r="A88" s="13" t="s">
        <v>69</v>
      </c>
      <c r="B88" s="13">
        <f>SUM(B81:B87)</f>
        <v>33031</v>
      </c>
      <c r="D88" s="26" t="s">
        <v>77</v>
      </c>
      <c r="E88" s="27"/>
      <c r="F88" s="17">
        <v>3</v>
      </c>
    </row>
    <row r="89" spans="1:6" x14ac:dyDescent="0.2">
      <c r="D89" s="26" t="s">
        <v>78</v>
      </c>
      <c r="E89" s="27"/>
      <c r="F89" s="17">
        <v>0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0</v>
      </c>
    </row>
    <row r="91" spans="1:6" x14ac:dyDescent="0.2">
      <c r="A91" s="21" t="s">
        <v>7</v>
      </c>
      <c r="B91" s="21">
        <f>C4</f>
        <v>59400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0</v>
      </c>
      <c r="D92" s="26" t="s">
        <v>81</v>
      </c>
      <c r="E92" s="27"/>
      <c r="F92" s="17">
        <v>1</v>
      </c>
    </row>
    <row r="93" spans="1:6" x14ac:dyDescent="0.2">
      <c r="A93" s="21" t="s">
        <v>85</v>
      </c>
      <c r="B93" s="21">
        <f>C78-C4-C8-C72</f>
        <v>0</v>
      </c>
      <c r="D93" s="26" t="s">
        <v>82</v>
      </c>
      <c r="E93" s="27"/>
      <c r="F93" s="17">
        <v>3</v>
      </c>
    </row>
    <row r="94" spans="1:6" x14ac:dyDescent="0.2">
      <c r="A94" s="21" t="s">
        <v>86</v>
      </c>
      <c r="B94" s="21">
        <f>C72</f>
        <v>81</v>
      </c>
      <c r="D94" s="28" t="s">
        <v>83</v>
      </c>
      <c r="E94" s="29"/>
      <c r="F94" s="18">
        <f>SUM(F82:F93)</f>
        <v>13</v>
      </c>
    </row>
    <row r="95" spans="1:6" x14ac:dyDescent="0.2">
      <c r="A95" s="22" t="s">
        <v>87</v>
      </c>
      <c r="B95" s="22">
        <f>SUM(B91:B94)</f>
        <v>59481</v>
      </c>
    </row>
    <row r="97" spans="1:6" x14ac:dyDescent="0.2">
      <c r="C97" s="39" t="s">
        <v>142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/>
      <c r="C100" s="3"/>
      <c r="D100" s="3">
        <v>186</v>
      </c>
      <c r="E100" s="3"/>
      <c r="F100" s="3">
        <f>SUM(B100:E100)*2</f>
        <v>372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/>
      <c r="C102" s="3"/>
      <c r="D102" s="3">
        <v>77</v>
      </c>
      <c r="E102" s="3"/>
      <c r="F102" s="3">
        <f>SUM(B102:E102)</f>
        <v>77</v>
      </c>
    </row>
    <row r="103" spans="1:6" x14ac:dyDescent="0.2">
      <c r="A103" s="3" t="s">
        <v>97</v>
      </c>
      <c r="B103" s="3"/>
      <c r="C103" s="3"/>
      <c r="D103" s="3"/>
      <c r="E103" s="3"/>
      <c r="F103" s="3">
        <f>SUM(B103:E103)</f>
        <v>0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0</v>
      </c>
      <c r="C109" s="23">
        <f>SUM(C99:C108)</f>
        <v>0</v>
      </c>
      <c r="D109" s="23">
        <f>SUM(D99:D108)</f>
        <v>263</v>
      </c>
      <c r="E109" s="23">
        <f>SUM(E99:E108)</f>
        <v>0</v>
      </c>
      <c r="F109" s="23">
        <f>SUM(F99:F108)</f>
        <v>449</v>
      </c>
    </row>
    <row r="110" spans="1:6" ht="15.75" x14ac:dyDescent="0.25">
      <c r="A110" s="3" t="s">
        <v>105</v>
      </c>
      <c r="B110" s="32">
        <f>SUM(B109:E109)</f>
        <v>263</v>
      </c>
      <c r="C110" s="33"/>
      <c r="D110" s="33"/>
      <c r="E110" s="34"/>
    </row>
  </sheetData>
  <sheetProtection sheet="1" objects="1" scenarios="1"/>
  <mergeCells count="17">
    <mergeCell ref="B110:E110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46" workbookViewId="0">
      <selection activeCell="B69" sqref="B69"/>
    </sheetView>
  </sheetViews>
  <sheetFormatPr baseColWidth="10" defaultColWidth="9.140625" defaultRowHeight="12.75" x14ac:dyDescent="0.2"/>
  <cols>
    <col min="1" max="1" width="40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109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499+207+953</f>
        <v>1659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107500</v>
      </c>
      <c r="D4" s="2"/>
      <c r="E4" s="2"/>
      <c r="F4" s="2"/>
    </row>
    <row r="5" spans="1:6" x14ac:dyDescent="0.2">
      <c r="A5" s="2" t="s">
        <v>8</v>
      </c>
      <c r="B5" s="2">
        <v>32825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>
        <f>141+21</f>
        <v>162</v>
      </c>
      <c r="D7" s="2"/>
      <c r="E7" s="2"/>
      <c r="F7" s="2"/>
    </row>
    <row r="8" spans="1:6" x14ac:dyDescent="0.2">
      <c r="A8" s="2" t="s">
        <v>11</v>
      </c>
      <c r="B8" s="2"/>
      <c r="C8" s="2">
        <v>4934</v>
      </c>
      <c r="D8" s="2"/>
      <c r="E8" s="2"/>
      <c r="F8" s="2"/>
    </row>
    <row r="9" spans="1:6" x14ac:dyDescent="0.2">
      <c r="A9" s="2" t="s">
        <v>12</v>
      </c>
      <c r="B9" s="2"/>
      <c r="C9" s="2">
        <v>24</v>
      </c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>
        <v>51</v>
      </c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15505</v>
      </c>
      <c r="E12" s="2"/>
      <c r="F12" s="2"/>
    </row>
    <row r="13" spans="1:6" x14ac:dyDescent="0.2">
      <c r="A13" s="2" t="s">
        <v>16</v>
      </c>
      <c r="B13" s="2"/>
      <c r="C13" s="2">
        <v>1098</v>
      </c>
      <c r="D13" s="2"/>
      <c r="E13" s="2"/>
      <c r="F13" s="2"/>
    </row>
    <row r="14" spans="1:6" x14ac:dyDescent="0.2">
      <c r="A14" s="2" t="s">
        <v>17</v>
      </c>
      <c r="B14" s="2"/>
      <c r="C14" s="2">
        <v>616</v>
      </c>
      <c r="D14" s="2"/>
      <c r="E14" s="2"/>
      <c r="F14" s="2"/>
    </row>
    <row r="15" spans="1:6" x14ac:dyDescent="0.2">
      <c r="A15" s="2" t="s">
        <v>18</v>
      </c>
      <c r="B15" s="2"/>
      <c r="C15" s="2">
        <v>708</v>
      </c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>
        <v>49</v>
      </c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>
        <f>110+9</f>
        <v>119</v>
      </c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22+1674+20+410+51+14+250</f>
        <v>2441</v>
      </c>
      <c r="D27" s="2"/>
      <c r="E27" s="2"/>
      <c r="F27" s="2"/>
    </row>
    <row r="28" spans="1:6" x14ac:dyDescent="0.2">
      <c r="A28" s="3" t="s">
        <v>30</v>
      </c>
      <c r="B28" s="3">
        <f>SUM(B3:B27)</f>
        <v>34484</v>
      </c>
      <c r="C28" s="3">
        <f>SUM(C3:C27)</f>
        <v>117702</v>
      </c>
      <c r="D28" s="3">
        <f>SUM(D3:D27)</f>
        <v>15505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28</v>
      </c>
      <c r="C30" s="2"/>
      <c r="D30" s="2"/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/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6197</v>
      </c>
      <c r="C34" s="2"/>
      <c r="D34" s="2"/>
      <c r="E34" s="2"/>
      <c r="F34" s="2"/>
    </row>
    <row r="35" spans="1:6" x14ac:dyDescent="0.2">
      <c r="A35" s="2" t="s">
        <v>22</v>
      </c>
      <c r="B35" s="2"/>
      <c r="C35" s="2">
        <v>94</v>
      </c>
      <c r="D35" s="2"/>
      <c r="E35" s="2"/>
      <c r="F35" s="2"/>
    </row>
    <row r="36" spans="1:6" x14ac:dyDescent="0.2">
      <c r="A36" s="2" t="s">
        <v>35</v>
      </c>
      <c r="B36" s="2">
        <f>933+84</f>
        <v>1017</v>
      </c>
      <c r="C36" s="2"/>
      <c r="D36" s="2"/>
      <c r="E36" s="2"/>
      <c r="F36" s="2"/>
    </row>
    <row r="37" spans="1:6" x14ac:dyDescent="0.2">
      <c r="A37" s="2" t="s">
        <v>36</v>
      </c>
      <c r="B37" s="2">
        <v>27</v>
      </c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>
        <v>3</v>
      </c>
      <c r="D39" s="2"/>
      <c r="E39" s="2"/>
      <c r="F39" s="2"/>
    </row>
    <row r="40" spans="1:6" x14ac:dyDescent="0.2">
      <c r="A40" s="3" t="s">
        <v>37</v>
      </c>
      <c r="B40" s="3">
        <f>SUM(B30:B39)</f>
        <v>7269</v>
      </c>
      <c r="C40" s="3">
        <f>SUM(C30:C39)</f>
        <v>97</v>
      </c>
      <c r="D40" s="3">
        <f>SUM(D30:D39)</f>
        <v>0</v>
      </c>
      <c r="E40" s="3">
        <f>SUM(E30:E39)</f>
        <v>0</v>
      </c>
      <c r="F40" s="3">
        <f>SUM(F30:F39)</f>
        <v>0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130</v>
      </c>
      <c r="C43" s="2"/>
      <c r="D43" s="2"/>
      <c r="E43" s="2"/>
      <c r="F43" s="2"/>
    </row>
    <row r="44" spans="1:6" x14ac:dyDescent="0.2">
      <c r="A44" s="2" t="s">
        <v>40</v>
      </c>
      <c r="B44" s="2"/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>
        <v>79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209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>
        <v>2479</v>
      </c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>
        <v>1501</v>
      </c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>
        <f>456+5+40+71+10+79+7+51+3+95+1501</f>
        <v>2318</v>
      </c>
      <c r="D75" s="2"/>
      <c r="E75" s="2"/>
      <c r="F75" s="2"/>
    </row>
    <row r="76" spans="1:6" x14ac:dyDescent="0.2">
      <c r="A76" s="3" t="s">
        <v>60</v>
      </c>
      <c r="B76" s="3">
        <f>SUM(B66:B75)</f>
        <v>2479</v>
      </c>
      <c r="C76" s="3">
        <f>SUM(C66:C75)</f>
        <v>3819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44441</v>
      </c>
      <c r="C78" s="7">
        <f>SUM(C3:C77)/2</f>
        <v>121618</v>
      </c>
      <c r="D78" s="7">
        <f>SUM(D3:D77)/2</f>
        <v>15505</v>
      </c>
      <c r="E78" s="7">
        <f>SUM(E3:E77)/2</f>
        <v>0</v>
      </c>
      <c r="F78" s="7">
        <f>SUM(F3:F77)/2</f>
        <v>0</v>
      </c>
    </row>
    <row r="79" spans="1:6" ht="24.95" customHeight="1" x14ac:dyDescent="0.2">
      <c r="A79" s="3" t="s">
        <v>62</v>
      </c>
      <c r="B79" s="24">
        <f>SUM(B78:F78)</f>
        <v>181564</v>
      </c>
      <c r="C79" s="25"/>
      <c r="D79" s="25"/>
      <c r="E79" s="25"/>
      <c r="F79" s="25"/>
    </row>
    <row r="80" spans="1:6" x14ac:dyDescent="0.2">
      <c r="A80" s="8" t="s">
        <v>108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34484</v>
      </c>
      <c r="D82" s="26" t="s">
        <v>71</v>
      </c>
      <c r="E82" s="27"/>
      <c r="F82" s="17">
        <v>2</v>
      </c>
    </row>
    <row r="83" spans="1:6" x14ac:dyDescent="0.2">
      <c r="A83" s="12" t="s">
        <v>64</v>
      </c>
      <c r="B83" s="12">
        <f>B40</f>
        <v>7269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3</v>
      </c>
    </row>
    <row r="86" spans="1:6" x14ac:dyDescent="0.2">
      <c r="A86" s="12" t="s">
        <v>67</v>
      </c>
      <c r="B86" s="12">
        <f>B51</f>
        <v>209</v>
      </c>
      <c r="D86" s="26" t="s">
        <v>75</v>
      </c>
      <c r="E86" s="27"/>
      <c r="F86" s="17">
        <v>8</v>
      </c>
    </row>
    <row r="87" spans="1:6" x14ac:dyDescent="0.2">
      <c r="A87" s="12" t="s">
        <v>68</v>
      </c>
      <c r="B87" s="12">
        <f>B76</f>
        <v>2479</v>
      </c>
      <c r="D87" s="26" t="s">
        <v>76</v>
      </c>
      <c r="E87" s="27"/>
      <c r="F87" s="17">
        <v>0</v>
      </c>
    </row>
    <row r="88" spans="1:6" x14ac:dyDescent="0.2">
      <c r="A88" s="13" t="s">
        <v>69</v>
      </c>
      <c r="B88" s="13">
        <f>SUM(B81:B87)</f>
        <v>44441</v>
      </c>
      <c r="D88" s="26" t="s">
        <v>77</v>
      </c>
      <c r="E88" s="27"/>
      <c r="F88" s="17">
        <v>0</v>
      </c>
    </row>
    <row r="89" spans="1:6" x14ac:dyDescent="0.2">
      <c r="D89" s="26" t="s">
        <v>78</v>
      </c>
      <c r="E89" s="27"/>
      <c r="F89" s="17">
        <v>1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0</v>
      </c>
    </row>
    <row r="91" spans="1:6" x14ac:dyDescent="0.2">
      <c r="A91" s="21" t="s">
        <v>7</v>
      </c>
      <c r="B91" s="21">
        <f>C4</f>
        <v>107500</v>
      </c>
      <c r="D91" s="26" t="s">
        <v>80</v>
      </c>
      <c r="E91" s="27"/>
      <c r="F91" s="17">
        <v>5</v>
      </c>
    </row>
    <row r="92" spans="1:6" x14ac:dyDescent="0.2">
      <c r="A92" s="21" t="s">
        <v>11</v>
      </c>
      <c r="B92" s="21">
        <f>C8</f>
        <v>4934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7683</v>
      </c>
      <c r="D93" s="26" t="s">
        <v>82</v>
      </c>
      <c r="E93" s="27"/>
      <c r="F93" s="17">
        <v>0</v>
      </c>
    </row>
    <row r="94" spans="1:6" x14ac:dyDescent="0.2">
      <c r="A94" s="21" t="s">
        <v>86</v>
      </c>
      <c r="B94" s="21">
        <f>C72</f>
        <v>1501</v>
      </c>
      <c r="D94" s="28" t="s">
        <v>83</v>
      </c>
      <c r="E94" s="29"/>
      <c r="F94" s="18">
        <f>SUM(F82:F93)</f>
        <v>19</v>
      </c>
    </row>
    <row r="95" spans="1:6" x14ac:dyDescent="0.2">
      <c r="A95" s="22" t="s">
        <v>87</v>
      </c>
      <c r="B95" s="22">
        <f>SUM(B91:B94)</f>
        <v>121618</v>
      </c>
    </row>
    <row r="97" spans="1:6" x14ac:dyDescent="0.2">
      <c r="C97" s="39" t="s">
        <v>109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273</v>
      </c>
      <c r="C100" s="3"/>
      <c r="D100" s="3">
        <v>520</v>
      </c>
      <c r="E100" s="3">
        <v>34</v>
      </c>
      <c r="F100" s="3">
        <f>SUM(B100:E100)*2</f>
        <v>1654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169</v>
      </c>
      <c r="C102" s="3">
        <v>439</v>
      </c>
      <c r="D102" s="3">
        <v>80</v>
      </c>
      <c r="E102" s="3">
        <v>202</v>
      </c>
      <c r="F102" s="3">
        <f>SUM(B102:E102)</f>
        <v>890</v>
      </c>
    </row>
    <row r="103" spans="1:6" x14ac:dyDescent="0.2">
      <c r="A103" s="3" t="s">
        <v>97</v>
      </c>
      <c r="B103" s="3">
        <v>13</v>
      </c>
      <c r="C103" s="3">
        <v>77</v>
      </c>
      <c r="D103" s="3">
        <v>30</v>
      </c>
      <c r="E103" s="3">
        <v>99</v>
      </c>
      <c r="F103" s="3">
        <f>SUM(B103:E103)*2</f>
        <v>438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3"/>
      <c r="C105" s="3">
        <v>1</v>
      </c>
      <c r="D105" s="3"/>
      <c r="E105" s="3"/>
      <c r="F105" s="3">
        <f>SUM(B105:E105)*2</f>
        <v>2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455</v>
      </c>
      <c r="C109" s="23">
        <f>SUM(C99:C108)</f>
        <v>517</v>
      </c>
      <c r="D109" s="23">
        <f>SUM(D99:D108)</f>
        <v>630</v>
      </c>
      <c r="E109" s="23">
        <f>SUM(E99:E108)</f>
        <v>335</v>
      </c>
      <c r="F109" s="23">
        <f>SUM(F99:F108)</f>
        <v>2984</v>
      </c>
    </row>
    <row r="110" spans="1:6" s="1" customFormat="1" ht="15.75" x14ac:dyDescent="0.25">
      <c r="A110" s="3" t="s">
        <v>105</v>
      </c>
      <c r="B110" s="32">
        <f>SUM(B109:E109)</f>
        <v>1937</v>
      </c>
      <c r="C110" s="33"/>
      <c r="D110" s="33"/>
      <c r="E110" s="34"/>
      <c r="F110"/>
    </row>
  </sheetData>
  <sheetProtection sheet="1" objects="1" scenarios="1"/>
  <mergeCells count="17">
    <mergeCell ref="B110:E110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0" workbookViewId="0">
      <selection activeCell="N102" sqref="N102"/>
    </sheetView>
  </sheetViews>
  <sheetFormatPr baseColWidth="10" defaultRowHeight="12.75" x14ac:dyDescent="0.2"/>
  <cols>
    <col min="1" max="1" width="45.5703125" bestFit="1" customWidth="1"/>
    <col min="2" max="2" width="15.5703125" bestFit="1" customWidth="1"/>
    <col min="3" max="3" width="15.28515625" bestFit="1" customWidth="1"/>
    <col min="4" max="4" width="20.5703125" bestFit="1" customWidth="1"/>
    <col min="5" max="5" width="19.85546875" bestFit="1" customWidth="1"/>
    <col min="6" max="6" width="18.85546875" bestFit="1" customWidth="1"/>
  </cols>
  <sheetData>
    <row r="1" spans="1:6" ht="18" x14ac:dyDescent="0.25">
      <c r="A1" s="41" t="s">
        <v>123</v>
      </c>
      <c r="B1" s="42"/>
      <c r="C1" s="42"/>
      <c r="D1" s="42"/>
      <c r="E1" s="42"/>
      <c r="F1" s="43"/>
    </row>
    <row r="2" spans="1:6" x14ac:dyDescent="0.2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</row>
    <row r="3" spans="1:6" x14ac:dyDescent="0.2">
      <c r="A3" s="45" t="str">
        <f>Enero!A3</f>
        <v>ALAMBRON ALUMINIO</v>
      </c>
      <c r="B3" s="45">
        <f>Julio!B3+Agosto!B3+Septiembre!B3+Octubre!B3+Noviembre!B3+Diciembre!B3</f>
        <v>19835</v>
      </c>
      <c r="C3" s="45">
        <f>Julio!C3+Agosto!C3+Septiembre!C3+Octubre!C3+Noviembre!C3+Diciembre!C3</f>
        <v>0</v>
      </c>
      <c r="D3" s="45">
        <f>Julio!D3+Agosto!D3+Septiembre!D3+Octubre!D3+Noviembre!D3+Diciembre!D3</f>
        <v>0</v>
      </c>
      <c r="E3" s="45">
        <f>Julio!E3+Agosto!E3+Septiembre!E3+Octubre!E3+Noviembre!E3+Diciembre!E3</f>
        <v>0</v>
      </c>
      <c r="F3" s="45">
        <f>Julio!F3+Agosto!F3+Septiembre!F3+Octubre!F3+Noviembre!F3+Diciembre!F3</f>
        <v>0</v>
      </c>
    </row>
    <row r="4" spans="1:6" x14ac:dyDescent="0.2">
      <c r="A4" s="45" t="str">
        <f>Enero!A4</f>
        <v>ALUMINA</v>
      </c>
      <c r="B4" s="45">
        <f>Julio!B4+Agosto!B4+Septiembre!B4+Octubre!B4+Noviembre!B4+Diciembre!B4</f>
        <v>0</v>
      </c>
      <c r="C4" s="45">
        <f>Julio!C4+Agosto!C4+Septiembre!C4+Octubre!C4+Noviembre!C4+Diciembre!C4</f>
        <v>384600</v>
      </c>
      <c r="D4" s="45">
        <f>Julio!D4+Agosto!D4+Septiembre!D4+Octubre!D4+Noviembre!D4+Diciembre!D4</f>
        <v>56700</v>
      </c>
      <c r="E4" s="45">
        <f>Julio!E4+Agosto!E4+Septiembre!E4+Octubre!E4+Noviembre!E4+Diciembre!E4</f>
        <v>0</v>
      </c>
      <c r="F4" s="45">
        <f>Julio!F4+Agosto!F4+Septiembre!F4+Octubre!F4+Noviembre!F4+Diciembre!F4</f>
        <v>0</v>
      </c>
    </row>
    <row r="5" spans="1:6" x14ac:dyDescent="0.2">
      <c r="A5" s="45" t="str">
        <f>Enero!A5</f>
        <v>ALUMINIO</v>
      </c>
      <c r="B5" s="45">
        <f>Julio!B5+Agosto!B5+Septiembre!B5+Octubre!B5+Noviembre!B5+Diciembre!B5</f>
        <v>215941</v>
      </c>
      <c r="C5" s="45">
        <f>Julio!C5+Agosto!C5+Septiembre!C5+Octubre!C5+Noviembre!C5+Diciembre!C5</f>
        <v>50</v>
      </c>
      <c r="D5" s="45">
        <f>Julio!D5+Agosto!D5+Septiembre!D5+Octubre!D5+Noviembre!D5+Diciembre!D5</f>
        <v>0</v>
      </c>
      <c r="E5" s="45">
        <f>Julio!E5+Agosto!E5+Septiembre!E5+Octubre!E5+Noviembre!E5+Diciembre!E5</f>
        <v>0</v>
      </c>
      <c r="F5" s="45">
        <f>Julio!F5+Agosto!F5+Septiembre!F5+Octubre!F5+Noviembre!F5+Diciembre!F5</f>
        <v>0</v>
      </c>
    </row>
    <row r="6" spans="1:6" x14ac:dyDescent="0.2">
      <c r="A6" s="45" t="str">
        <f>Enero!A6</f>
        <v>BAÑO  CRIOLITICO</v>
      </c>
      <c r="B6" s="45">
        <f>Julio!B6+Agosto!B6+Septiembre!B6+Octubre!B6+Noviembre!B6+Diciembre!B6</f>
        <v>0</v>
      </c>
      <c r="C6" s="45">
        <f>Julio!C6+Agosto!C6+Septiembre!C6+Octubre!C6+Noviembre!C6+Diciembre!C6</f>
        <v>0</v>
      </c>
      <c r="D6" s="45">
        <f>Julio!D6+Agosto!D6+Septiembre!D6+Octubre!D6+Noviembre!D6+Diciembre!D6</f>
        <v>0</v>
      </c>
      <c r="E6" s="45">
        <f>Julio!E6+Agosto!E6+Septiembre!E6+Octubre!E6+Noviembre!E6+Diciembre!E6</f>
        <v>0</v>
      </c>
      <c r="F6" s="45">
        <f>Julio!F6+Agosto!F6+Septiembre!F6+Octubre!F6+Noviembre!F6+Diciembre!F6</f>
        <v>0</v>
      </c>
    </row>
    <row r="7" spans="1:6" x14ac:dyDescent="0.2">
      <c r="A7" s="45" t="str">
        <f>Enero!A7</f>
        <v>BLOQUES CATODICOS</v>
      </c>
      <c r="B7" s="45">
        <f>Julio!B7+Agosto!B7+Septiembre!B7+Octubre!B7+Noviembre!B7+Diciembre!B7</f>
        <v>0</v>
      </c>
      <c r="C7" s="45">
        <f>Julio!C7+Agosto!C7+Septiembre!C7+Octubre!C7+Noviembre!C7+Diciembre!C7</f>
        <v>429</v>
      </c>
      <c r="D7" s="45">
        <f>Julio!D7+Agosto!D7+Septiembre!D7+Octubre!D7+Noviembre!D7+Diciembre!D7</f>
        <v>0</v>
      </c>
      <c r="E7" s="45">
        <f>Julio!E7+Agosto!E7+Septiembre!E7+Octubre!E7+Noviembre!E7+Diciembre!E7</f>
        <v>0</v>
      </c>
      <c r="F7" s="45">
        <f>Julio!F7+Agosto!F7+Septiembre!F7+Octubre!F7+Noviembre!F7+Diciembre!F7</f>
        <v>0</v>
      </c>
    </row>
    <row r="8" spans="1:6" x14ac:dyDescent="0.2">
      <c r="A8" s="45" t="str">
        <f>Enero!A8</f>
        <v>BREA</v>
      </c>
      <c r="B8" s="45">
        <f>Julio!B8+Agosto!B8+Septiembre!B8+Octubre!B8+Noviembre!B8+Diciembre!B8</f>
        <v>0</v>
      </c>
      <c r="C8" s="45">
        <f>Julio!C8+Agosto!C8+Septiembre!C8+Octubre!C8+Noviembre!C8+Diciembre!C8</f>
        <v>14357</v>
      </c>
      <c r="D8" s="45">
        <f>Julio!D8+Agosto!D8+Septiembre!D8+Octubre!D8+Noviembre!D8+Diciembre!D8</f>
        <v>0</v>
      </c>
      <c r="E8" s="45">
        <f>Julio!E8+Agosto!E8+Septiembre!E8+Octubre!E8+Noviembre!E8+Diciembre!E8</f>
        <v>0</v>
      </c>
      <c r="F8" s="45">
        <f>Julio!F8+Agosto!F8+Septiembre!F8+Octubre!F8+Noviembre!F8+Diciembre!F8</f>
        <v>0</v>
      </c>
    </row>
    <row r="9" spans="1:6" x14ac:dyDescent="0.2">
      <c r="A9" s="45" t="str">
        <f>Enero!A9</f>
        <v>BRIQUETA</v>
      </c>
      <c r="B9" s="45">
        <f>Julio!B9+Agosto!B9+Septiembre!B9+Octubre!B9+Noviembre!B9+Diciembre!B9</f>
        <v>0</v>
      </c>
      <c r="C9" s="45">
        <f>Julio!C9+Agosto!C9+Septiembre!C9+Octubre!C9+Noviembre!C9+Diciembre!C9</f>
        <v>161</v>
      </c>
      <c r="D9" s="45">
        <f>Julio!D9+Agosto!D9+Septiembre!D9+Octubre!D9+Noviembre!D9+Diciembre!D9</f>
        <v>0</v>
      </c>
      <c r="E9" s="45">
        <f>Julio!E9+Agosto!E9+Septiembre!E9+Octubre!E9+Noviembre!E9+Diciembre!E9</f>
        <v>0</v>
      </c>
      <c r="F9" s="45">
        <f>Julio!F9+Agosto!F9+Septiembre!F9+Octubre!F9+Noviembre!F9+Diciembre!F9</f>
        <v>0</v>
      </c>
    </row>
    <row r="10" spans="1:6" x14ac:dyDescent="0.2">
      <c r="A10" s="45" t="str">
        <f>Enero!A10</f>
        <v>CATODOS A GRANEL</v>
      </c>
      <c r="B10" s="45">
        <f>Julio!B10+Agosto!B10+Septiembre!B10+Octubre!B10+Noviembre!B10+Diciembre!B10</f>
        <v>0</v>
      </c>
      <c r="C10" s="45">
        <f>Julio!C10+Agosto!C10+Septiembre!C10+Octubre!C10+Noviembre!C10+Diciembre!C10</f>
        <v>0</v>
      </c>
      <c r="D10" s="45">
        <f>Julio!D10+Agosto!D10+Septiembre!D10+Octubre!D10+Noviembre!D10+Diciembre!D10</f>
        <v>0</v>
      </c>
      <c r="E10" s="45">
        <f>Julio!E10+Agosto!E10+Septiembre!E10+Octubre!E10+Noviembre!E10+Diciembre!E10</f>
        <v>0</v>
      </c>
      <c r="F10" s="45">
        <f>Julio!F10+Agosto!F10+Septiembre!F10+Octubre!F10+Noviembre!F10+Diciembre!F10</f>
        <v>0</v>
      </c>
    </row>
    <row r="11" spans="1:6" x14ac:dyDescent="0.2">
      <c r="A11" s="45" t="str">
        <f>Enero!A11</f>
        <v>CEMENTO</v>
      </c>
      <c r="B11" s="45">
        <f>Julio!B11+Agosto!B11+Septiembre!B11+Octubre!B11+Noviembre!B11+Diciembre!B11</f>
        <v>0</v>
      </c>
      <c r="C11" s="45">
        <f>Julio!C11+Agosto!C11+Septiembre!C11+Octubre!C11+Noviembre!C11+Diciembre!C11</f>
        <v>302</v>
      </c>
      <c r="D11" s="45">
        <f>Julio!D11+Agosto!D11+Septiembre!D11+Octubre!D11+Noviembre!D11+Diciembre!D11</f>
        <v>0</v>
      </c>
      <c r="E11" s="45">
        <f>Julio!E11+Agosto!E11+Septiembre!E11+Octubre!E11+Noviembre!E11+Diciembre!E11</f>
        <v>0</v>
      </c>
      <c r="F11" s="45">
        <f>Julio!F11+Agosto!F11+Septiembre!F11+Octubre!F11+Noviembre!F11+Diciembre!F11</f>
        <v>0</v>
      </c>
    </row>
    <row r="12" spans="1:6" x14ac:dyDescent="0.2">
      <c r="A12" s="45" t="str">
        <f>Enero!A12</f>
        <v>COKE</v>
      </c>
      <c r="B12" s="45">
        <f>Julio!B12+Agosto!B12+Septiembre!B12+Octubre!B12+Noviembre!B12+Diciembre!B12</f>
        <v>0</v>
      </c>
      <c r="C12" s="45">
        <f>Julio!C12+Agosto!C12+Septiembre!C12+Octubre!C12+Noviembre!C12+Diciembre!C12</f>
        <v>0</v>
      </c>
      <c r="D12" s="45">
        <f>Julio!D12+Agosto!D12+Septiembre!D12+Octubre!D12+Noviembre!D12+Diciembre!D12</f>
        <v>85830</v>
      </c>
      <c r="E12" s="45">
        <f>Julio!E12+Agosto!E12+Septiembre!E12+Octubre!E12+Noviembre!E12+Diciembre!E12</f>
        <v>0</v>
      </c>
      <c r="F12" s="45">
        <f>Julio!F12+Agosto!F12+Septiembre!F12+Octubre!F12+Noviembre!F12+Diciembre!F12</f>
        <v>0</v>
      </c>
    </row>
    <row r="13" spans="1:6" x14ac:dyDescent="0.2">
      <c r="A13" s="45" t="str">
        <f>Enero!A13</f>
        <v>FLUORURO DE ALUMINIO</v>
      </c>
      <c r="B13" s="45">
        <f>Julio!B13+Agosto!B13+Septiembre!B13+Octubre!B13+Noviembre!B13+Diciembre!B13</f>
        <v>0</v>
      </c>
      <c r="C13" s="45">
        <f>Julio!C13+Agosto!C13+Septiembre!C13+Octubre!C13+Noviembre!C13+Diciembre!C13</f>
        <v>2745</v>
      </c>
      <c r="D13" s="45">
        <f>Julio!D13+Agosto!D13+Septiembre!D13+Octubre!D13+Noviembre!D13+Diciembre!D13</f>
        <v>0</v>
      </c>
      <c r="E13" s="45">
        <f>Julio!E13+Agosto!E13+Septiembre!E13+Octubre!E13+Noviembre!E13+Diciembre!E13</f>
        <v>0</v>
      </c>
      <c r="F13" s="45">
        <f>Julio!F13+Agosto!F13+Septiembre!F13+Octubre!F13+Noviembre!F13+Diciembre!F13</f>
        <v>0</v>
      </c>
    </row>
    <row r="14" spans="1:6" x14ac:dyDescent="0.2">
      <c r="A14" s="45" t="str">
        <f>Enero!A14</f>
        <v>INSUMOS</v>
      </c>
      <c r="B14" s="45">
        <f>Julio!B14+Agosto!B14+Septiembre!B14+Octubre!B14+Noviembre!B14+Diciembre!B14</f>
        <v>0</v>
      </c>
      <c r="C14" s="45">
        <f>Julio!C14+Agosto!C14+Septiembre!C14+Octubre!C14+Noviembre!C14+Diciembre!C14</f>
        <v>1543</v>
      </c>
      <c r="D14" s="45">
        <f>Julio!D14+Agosto!D14+Septiembre!D14+Octubre!D14+Noviembre!D14+Diciembre!D14</f>
        <v>0</v>
      </c>
      <c r="E14" s="45">
        <f>Julio!E14+Agosto!E14+Septiembre!E14+Octubre!E14+Noviembre!E14+Diciembre!E14</f>
        <v>0</v>
      </c>
      <c r="F14" s="45">
        <f>Julio!F14+Agosto!F14+Septiembre!F14+Octubre!F14+Noviembre!F14+Diciembre!F14</f>
        <v>0</v>
      </c>
    </row>
    <row r="15" spans="1:6" x14ac:dyDescent="0.2">
      <c r="A15" s="45" t="str">
        <f>Enero!A15</f>
        <v>LADRILLOS AISLANTES</v>
      </c>
      <c r="B15" s="45">
        <f>Julio!B15+Agosto!B15+Septiembre!B15+Octubre!B15+Noviembre!B15+Diciembre!B15</f>
        <v>0</v>
      </c>
      <c r="C15" s="45">
        <f>Julio!C15+Agosto!C15+Septiembre!C15+Octubre!C15+Noviembre!C15+Diciembre!C15</f>
        <v>1912</v>
      </c>
      <c r="D15" s="45">
        <f>Julio!D15+Agosto!D15+Septiembre!D15+Octubre!D15+Noviembre!D15+Diciembre!D15</f>
        <v>0</v>
      </c>
      <c r="E15" s="45">
        <f>Julio!E15+Agosto!E15+Septiembre!E15+Octubre!E15+Noviembre!E15+Diciembre!E15</f>
        <v>0</v>
      </c>
      <c r="F15" s="45">
        <f>Julio!F15+Agosto!F15+Septiembre!F15+Octubre!F15+Noviembre!F15+Diciembre!F15</f>
        <v>0</v>
      </c>
    </row>
    <row r="16" spans="1:6" x14ac:dyDescent="0.2">
      <c r="A16" s="45" t="str">
        <f>Enero!A16</f>
        <v>LOSAS LATERALES</v>
      </c>
      <c r="B16" s="45">
        <f>Julio!B16+Agosto!B16+Septiembre!B16+Octubre!B16+Noviembre!B16+Diciembre!B16</f>
        <v>0</v>
      </c>
      <c r="C16" s="45">
        <f>Julio!C16+Agosto!C16+Septiembre!C16+Octubre!C16+Noviembre!C16+Diciembre!C16</f>
        <v>0</v>
      </c>
      <c r="D16" s="45">
        <f>Julio!D16+Agosto!D16+Septiembre!D16+Octubre!D16+Noviembre!D16+Diciembre!D16</f>
        <v>0</v>
      </c>
      <c r="E16" s="45">
        <f>Julio!E16+Agosto!E16+Septiembre!E16+Octubre!E16+Noviembre!E16+Diciembre!E16</f>
        <v>0</v>
      </c>
      <c r="F16" s="45">
        <f>Julio!F16+Agosto!F16+Septiembre!F16+Octubre!F16+Noviembre!F16+Diciembre!F16</f>
        <v>0</v>
      </c>
    </row>
    <row r="17" spans="1:6" x14ac:dyDescent="0.2">
      <c r="A17" s="45" t="str">
        <f>Enero!A17</f>
        <v>MAGNESIO</v>
      </c>
      <c r="B17" s="45">
        <f>Julio!B17+Agosto!B17+Septiembre!B17+Octubre!B17+Noviembre!B17+Diciembre!B17</f>
        <v>0</v>
      </c>
      <c r="C17" s="45">
        <f>Julio!C17+Agosto!C17+Septiembre!C17+Octubre!C17+Noviembre!C17+Diciembre!C17</f>
        <v>74</v>
      </c>
      <c r="D17" s="45">
        <f>Julio!D17+Agosto!D17+Septiembre!D17+Octubre!D17+Noviembre!D17+Diciembre!D17</f>
        <v>0</v>
      </c>
      <c r="E17" s="45">
        <f>Julio!E17+Agosto!E17+Septiembre!E17+Octubre!E17+Noviembre!E17+Diciembre!E17</f>
        <v>0</v>
      </c>
      <c r="F17" s="45">
        <f>Julio!F17+Agosto!F17+Septiembre!F17+Octubre!F17+Noviembre!F17+Diciembre!F17</f>
        <v>0</v>
      </c>
    </row>
    <row r="18" spans="1:6" x14ac:dyDescent="0.2">
      <c r="A18" s="45" t="str">
        <f>Enero!A18</f>
        <v>MAQUINAS Y APARATOS</v>
      </c>
      <c r="B18" s="45">
        <f>Julio!B18+Agosto!B18+Septiembre!B18+Octubre!B18+Noviembre!B18+Diciembre!B18</f>
        <v>0</v>
      </c>
      <c r="C18" s="45">
        <f>Julio!C18+Agosto!C18+Septiembre!C18+Octubre!C18+Noviembre!C18+Diciembre!C18</f>
        <v>0</v>
      </c>
      <c r="D18" s="45">
        <f>Julio!D18+Agosto!D18+Septiembre!D18+Octubre!D18+Noviembre!D18+Diciembre!D18</f>
        <v>0</v>
      </c>
      <c r="E18" s="45">
        <f>Julio!E18+Agosto!E18+Septiembre!E18+Octubre!E18+Noviembre!E18+Diciembre!E18</f>
        <v>0</v>
      </c>
      <c r="F18" s="45">
        <f>Julio!F18+Agosto!F18+Septiembre!F18+Octubre!F18+Noviembre!F18+Diciembre!F18</f>
        <v>0</v>
      </c>
    </row>
    <row r="19" spans="1:6" x14ac:dyDescent="0.2">
      <c r="A19" s="45" t="str">
        <f>Enero!A19</f>
        <v>MATERIAL EMPAQUE</v>
      </c>
      <c r="B19" s="45">
        <f>Julio!B19+Agosto!B19+Septiembre!B19+Octubre!B19+Noviembre!B19+Diciembre!B19</f>
        <v>0</v>
      </c>
      <c r="C19" s="45">
        <f>Julio!C19+Agosto!C19+Septiembre!C19+Octubre!C19+Noviembre!C19+Diciembre!C19</f>
        <v>414</v>
      </c>
      <c r="D19" s="45">
        <f>Julio!D19+Agosto!D19+Septiembre!D19+Octubre!D19+Noviembre!D19+Diciembre!D19</f>
        <v>0</v>
      </c>
      <c r="E19" s="45">
        <f>Julio!E19+Agosto!E19+Septiembre!E19+Octubre!E19+Noviembre!E19+Diciembre!E19</f>
        <v>0</v>
      </c>
      <c r="F19" s="45">
        <f>Julio!F19+Agosto!F19+Septiembre!F19+Octubre!F19+Noviembre!F19+Diciembre!F19</f>
        <v>0</v>
      </c>
    </row>
    <row r="20" spans="1:6" x14ac:dyDescent="0.2">
      <c r="A20" s="45" t="str">
        <f>Enero!A20</f>
        <v>MATERIAL REFRACTARIO</v>
      </c>
      <c r="B20" s="45">
        <f>Julio!B20+Agosto!B20+Septiembre!B20+Octubre!B20+Noviembre!B20+Diciembre!B20</f>
        <v>0</v>
      </c>
      <c r="C20" s="45">
        <f>Julio!C20+Agosto!C20+Septiembre!C20+Octubre!C20+Noviembre!C20+Diciembre!C20</f>
        <v>537</v>
      </c>
      <c r="D20" s="45">
        <f>Julio!D20+Agosto!D20+Septiembre!D20+Octubre!D20+Noviembre!D20+Diciembre!D20</f>
        <v>0</v>
      </c>
      <c r="E20" s="45">
        <f>Julio!E20+Agosto!E20+Septiembre!E20+Octubre!E20+Noviembre!E20+Diciembre!E20</f>
        <v>0</v>
      </c>
      <c r="F20" s="45">
        <f>Julio!F20+Agosto!F20+Septiembre!F20+Octubre!F20+Noviembre!F20+Diciembre!F20</f>
        <v>0</v>
      </c>
    </row>
    <row r="21" spans="1:6" x14ac:dyDescent="0.2">
      <c r="A21" s="45" t="str">
        <f>Enero!A21</f>
        <v>PRODUCTOS QUIMICOS</v>
      </c>
      <c r="B21" s="45">
        <f>Julio!B21+Agosto!B21+Septiembre!B21+Octubre!B21+Noviembre!B21+Diciembre!B21</f>
        <v>0</v>
      </c>
      <c r="C21" s="45">
        <f>Julio!C21+Agosto!C21+Septiembre!C21+Octubre!C21+Noviembre!C21+Diciembre!C21</f>
        <v>0</v>
      </c>
      <c r="D21" s="45">
        <f>Julio!D21+Agosto!D21+Septiembre!D21+Octubre!D21+Noviembre!D21+Diciembre!D21</f>
        <v>0</v>
      </c>
      <c r="E21" s="45">
        <f>Julio!E21+Agosto!E21+Septiembre!E21+Octubre!E21+Noviembre!E21+Diciembre!E21</f>
        <v>0</v>
      </c>
      <c r="F21" s="45">
        <f>Julio!F21+Agosto!F21+Septiembre!F21+Octubre!F21+Noviembre!F21+Diciembre!F21</f>
        <v>0</v>
      </c>
    </row>
    <row r="22" spans="1:6" x14ac:dyDescent="0.2">
      <c r="A22" s="45" t="str">
        <f>Enero!A22</f>
        <v>REPUESTOS</v>
      </c>
      <c r="B22" s="45">
        <f>Julio!B22+Agosto!B22+Septiembre!B22+Octubre!B22+Noviembre!B22+Diciembre!B22</f>
        <v>0</v>
      </c>
      <c r="C22" s="45">
        <f>Julio!C22+Agosto!C22+Septiembre!C22+Octubre!C22+Noviembre!C22+Diciembre!C22</f>
        <v>0</v>
      </c>
      <c r="D22" s="45">
        <f>Julio!D22+Agosto!D22+Septiembre!D22+Octubre!D22+Noviembre!D22+Diciembre!D22</f>
        <v>0</v>
      </c>
      <c r="E22" s="45">
        <f>Julio!E22+Agosto!E22+Septiembre!E22+Octubre!E22+Noviembre!E22+Diciembre!E22</f>
        <v>0</v>
      </c>
      <c r="F22" s="45">
        <f>Julio!F22+Agosto!F22+Septiembre!F22+Octubre!F22+Noviembre!F22+Diciembre!F22</f>
        <v>0</v>
      </c>
    </row>
    <row r="23" spans="1:6" x14ac:dyDescent="0.2">
      <c r="A23" s="45" t="str">
        <f>Enero!A23</f>
        <v>SILICIO METALICO</v>
      </c>
      <c r="B23" s="45">
        <f>Julio!B23+Agosto!B23+Septiembre!B23+Octubre!B23+Noviembre!B23+Diciembre!B23</f>
        <v>0</v>
      </c>
      <c r="C23" s="45">
        <f>Julio!C23+Agosto!C23+Septiembre!C23+Octubre!C23+Noviembre!C23+Diciembre!C23</f>
        <v>566</v>
      </c>
      <c r="D23" s="45">
        <f>Julio!D23+Agosto!D23+Septiembre!D23+Octubre!D23+Noviembre!D23+Diciembre!D23</f>
        <v>0</v>
      </c>
      <c r="E23" s="45">
        <f>Julio!E23+Agosto!E23+Septiembre!E23+Octubre!E23+Noviembre!E23+Diciembre!E23</f>
        <v>0</v>
      </c>
      <c r="F23" s="45">
        <f>Julio!F23+Agosto!F23+Septiembre!F23+Octubre!F23+Noviembre!F23+Diciembre!F23</f>
        <v>0</v>
      </c>
    </row>
    <row r="24" spans="1:6" x14ac:dyDescent="0.2">
      <c r="A24" s="45" t="str">
        <f>Enero!A24</f>
        <v>SUPER RAMP CP 45</v>
      </c>
      <c r="B24" s="45">
        <f>Julio!B24+Agosto!B24+Septiembre!B24+Octubre!B24+Noviembre!B24+Diciembre!B24</f>
        <v>0</v>
      </c>
      <c r="C24" s="45">
        <f>Julio!C24+Agosto!C24+Septiembre!C24+Octubre!C24+Noviembre!C24+Diciembre!C24</f>
        <v>0</v>
      </c>
      <c r="D24" s="45">
        <f>Julio!D24+Agosto!D24+Septiembre!D24+Octubre!D24+Noviembre!D24+Diciembre!D24</f>
        <v>0</v>
      </c>
      <c r="E24" s="45">
        <f>Julio!E24+Agosto!E24+Septiembre!E24+Octubre!E24+Noviembre!E24+Diciembre!E24</f>
        <v>0</v>
      </c>
      <c r="F24" s="45">
        <f>Julio!F24+Agosto!F24+Septiembre!F24+Octubre!F24+Noviembre!F24+Diciembre!F24</f>
        <v>0</v>
      </c>
    </row>
    <row r="25" spans="1:6" x14ac:dyDescent="0.2">
      <c r="A25" s="45" t="str">
        <f>Enero!A25</f>
        <v>TEJOS DE ALUMINIO</v>
      </c>
      <c r="B25" s="45">
        <f>Julio!B25+Agosto!B25+Septiembre!B25+Octubre!B25+Noviembre!B25+Diciembre!B25</f>
        <v>0</v>
      </c>
      <c r="C25" s="45">
        <f>Julio!C25+Agosto!C25+Septiembre!C25+Octubre!C25+Noviembre!C25+Diciembre!C25</f>
        <v>0</v>
      </c>
      <c r="D25" s="45">
        <f>Julio!D25+Agosto!D25+Septiembre!D25+Octubre!D25+Noviembre!D25+Diciembre!D25</f>
        <v>0</v>
      </c>
      <c r="E25" s="45">
        <f>Julio!E25+Agosto!E25+Septiembre!E25+Octubre!E25+Noviembre!E25+Diciembre!E25</f>
        <v>0</v>
      </c>
      <c r="F25" s="45">
        <f>Julio!F25+Agosto!F25+Septiembre!F25+Octubre!F25+Noviembre!F25+Diciembre!F25</f>
        <v>0</v>
      </c>
    </row>
    <row r="26" spans="1:6" x14ac:dyDescent="0.2">
      <c r="A26" s="45"/>
      <c r="B26" s="45"/>
      <c r="C26" s="45"/>
      <c r="D26" s="45"/>
      <c r="E26" s="45"/>
      <c r="F26" s="45"/>
    </row>
    <row r="27" spans="1:6" x14ac:dyDescent="0.2">
      <c r="A27" s="45" t="str">
        <f>Enero!A27</f>
        <v xml:space="preserve">OTROS </v>
      </c>
      <c r="B27" s="45">
        <f>Julio!B27+Agosto!B27+Septiembre!B27+Octubre!B27+Noviembre!B27+Diciembre!B27</f>
        <v>0</v>
      </c>
      <c r="C27" s="45">
        <f>Julio!C27+Agosto!C27+Septiembre!C27+Octubre!C27+Noviembre!C27+Diciembre!C27</f>
        <v>6154</v>
      </c>
      <c r="D27" s="45">
        <f>Julio!D27+Agosto!D27+Septiembre!D27+Octubre!D27+Noviembre!D27+Diciembre!D27</f>
        <v>0</v>
      </c>
      <c r="E27" s="45">
        <f>Julio!E27+Agosto!E27+Septiembre!E27+Octubre!E27+Noviembre!E27+Diciembre!E27</f>
        <v>0</v>
      </c>
      <c r="F27" s="45">
        <f>Julio!F27+Agosto!F27+Septiembre!F27+Octubre!F27+Noviembre!F27+Diciembre!F27</f>
        <v>0</v>
      </c>
    </row>
    <row r="28" spans="1:6" x14ac:dyDescent="0.2">
      <c r="A28" s="47" t="str">
        <f>Enero!A28</f>
        <v>TOTAL SECTOR ALUMINIO</v>
      </c>
      <c r="B28" s="47">
        <f>Julio!B28+Agosto!B28+Septiembre!B28+Octubre!B28+Noviembre!B28+Diciembre!B28</f>
        <v>235776</v>
      </c>
      <c r="C28" s="47">
        <f>Julio!C28+Agosto!C28+Septiembre!C28+Octubre!C28+Noviembre!C28+Diciembre!C28</f>
        <v>413844</v>
      </c>
      <c r="D28" s="47">
        <f>Julio!D28+Agosto!D28+Septiembre!D28+Octubre!D28+Noviembre!D28+Diciembre!D28</f>
        <v>142530</v>
      </c>
      <c r="E28" s="47">
        <f>Julio!E28+Agosto!E28+Septiembre!E28+Octubre!E28+Noviembre!E28+Diciembre!E28</f>
        <v>0</v>
      </c>
      <c r="F28" s="47">
        <f>Julio!F28+Agosto!F28+Septiembre!F28+Octubre!F28+Noviembre!F28+Diciembre!F28</f>
        <v>0</v>
      </c>
    </row>
    <row r="29" spans="1:6" ht="6.75" customHeight="1" x14ac:dyDescent="0.2">
      <c r="A29" s="46"/>
      <c r="B29" s="46"/>
      <c r="C29" s="46"/>
      <c r="D29" s="46"/>
      <c r="E29" s="46"/>
      <c r="F29" s="46"/>
    </row>
    <row r="30" spans="1:6" x14ac:dyDescent="0.2">
      <c r="A30" s="45" t="str">
        <f>Enero!A30</f>
        <v>CALAMAR</v>
      </c>
      <c r="B30" s="45">
        <f>Julio!B30+Agosto!B30+Septiembre!B30+Octubre!B30+Noviembre!B30+Diciembre!B30</f>
        <v>2518</v>
      </c>
      <c r="C30" s="45">
        <f>Julio!C30+Agosto!C30+Septiembre!C30+Octubre!C30+Noviembre!C30+Diciembre!C30</f>
        <v>53</v>
      </c>
      <c r="D30" s="45">
        <f>Julio!D30+Agosto!D30+Septiembre!D30+Octubre!D30+Noviembre!D30+Diciembre!D30</f>
        <v>0</v>
      </c>
      <c r="E30" s="45">
        <f>Julio!E30+Agosto!E30+Septiembre!E30+Octubre!E30+Noviembre!E30+Diciembre!E30</f>
        <v>0</v>
      </c>
      <c r="F30" s="45">
        <f>Julio!F30+Agosto!F30+Septiembre!F30+Octubre!F30+Noviembre!F30+Diciembre!F30</f>
        <v>0</v>
      </c>
    </row>
    <row r="31" spans="1:6" x14ac:dyDescent="0.2">
      <c r="A31" s="45" t="str">
        <f>Enero!A31</f>
        <v>CENTOLLAS</v>
      </c>
      <c r="B31" s="45">
        <f>Julio!B31+Agosto!B31+Septiembre!B31+Octubre!B31+Noviembre!B31+Diciembre!B31</f>
        <v>0</v>
      </c>
      <c r="C31" s="45">
        <f>Julio!C31+Agosto!C31+Septiembre!C31+Octubre!C31+Noviembre!C31+Diciembre!C31</f>
        <v>0</v>
      </c>
      <c r="D31" s="45">
        <f>Julio!D31+Agosto!D31+Septiembre!D31+Octubre!D31+Noviembre!D31+Diciembre!D31</f>
        <v>0</v>
      </c>
      <c r="E31" s="45">
        <f>Julio!E31+Agosto!E31+Septiembre!E31+Octubre!E31+Noviembre!E31+Diciembre!E31</f>
        <v>0</v>
      </c>
      <c r="F31" s="45">
        <f>Julio!F31+Agosto!F31+Septiembre!F31+Octubre!F31+Noviembre!F31+Diciembre!F31</f>
        <v>0</v>
      </c>
    </row>
    <row r="32" spans="1:6" x14ac:dyDescent="0.2">
      <c r="A32" s="45" t="str">
        <f>Enero!A32</f>
        <v>COMBUSTIBLES LIQUIDOS Y DERIVADOS</v>
      </c>
      <c r="B32" s="45">
        <f>Julio!B32+Agosto!B32+Septiembre!B32+Octubre!B32+Noviembre!B32+Diciembre!B32</f>
        <v>0</v>
      </c>
      <c r="C32" s="45">
        <f>Julio!C32+Agosto!C32+Septiembre!C32+Octubre!C32+Noviembre!C32+Diciembre!C32</f>
        <v>0</v>
      </c>
      <c r="D32" s="45">
        <f>Julio!D32+Agosto!D32+Septiembre!D32+Octubre!D32+Noviembre!D32+Diciembre!D32</f>
        <v>0</v>
      </c>
      <c r="E32" s="45">
        <f>Julio!E32+Agosto!E32+Septiembre!E32+Octubre!E32+Noviembre!E32+Diciembre!E32</f>
        <v>0</v>
      </c>
      <c r="F32" s="45">
        <f>Julio!F32+Agosto!F32+Septiembre!F32+Octubre!F32+Noviembre!F32+Diciembre!F32</f>
        <v>16575</v>
      </c>
    </row>
    <row r="33" spans="1:6" x14ac:dyDescent="0.2">
      <c r="A33" s="45" t="str">
        <f>Enero!A33</f>
        <v>INSUMOS</v>
      </c>
      <c r="B33" s="45">
        <f>Julio!B33+Agosto!B33+Septiembre!B33+Octubre!B33+Noviembre!B33+Diciembre!B33</f>
        <v>0</v>
      </c>
      <c r="C33" s="45">
        <f>Julio!C33+Agosto!C33+Septiembre!C33+Octubre!C33+Noviembre!C33+Diciembre!C33</f>
        <v>0</v>
      </c>
      <c r="D33" s="45">
        <f>Julio!D33+Agosto!D33+Septiembre!D33+Octubre!D33+Noviembre!D33+Diciembre!D33</f>
        <v>0</v>
      </c>
      <c r="E33" s="45">
        <f>Julio!E33+Agosto!E33+Septiembre!E33+Octubre!E33+Noviembre!E33+Diciembre!E33</f>
        <v>0</v>
      </c>
      <c r="F33" s="45">
        <f>Julio!F33+Agosto!F33+Septiembre!F33+Octubre!F33+Noviembre!F33+Diciembre!F33</f>
        <v>0</v>
      </c>
    </row>
    <row r="34" spans="1:6" x14ac:dyDescent="0.2">
      <c r="A34" s="45" t="str">
        <f>Enero!A34</f>
        <v>LANGOSTINOS</v>
      </c>
      <c r="B34" s="45">
        <f>Julio!B34+Agosto!B34+Septiembre!B34+Octubre!B34+Noviembre!B34+Diciembre!B34</f>
        <v>48112</v>
      </c>
      <c r="C34" s="45">
        <f>Julio!C34+Agosto!C34+Septiembre!C34+Octubre!C34+Noviembre!C34+Diciembre!C34</f>
        <v>410</v>
      </c>
      <c r="D34" s="45">
        <f>Julio!D34+Agosto!D34+Septiembre!D34+Octubre!D34+Noviembre!D34+Diciembre!D34</f>
        <v>52092</v>
      </c>
      <c r="E34" s="45">
        <f>Julio!E34+Agosto!E34+Septiembre!E34+Octubre!E34+Noviembre!E34+Diciembre!E34</f>
        <v>0</v>
      </c>
      <c r="F34" s="45">
        <f>Julio!F34+Agosto!F34+Septiembre!F34+Octubre!F34+Noviembre!F34+Diciembre!F34</f>
        <v>0</v>
      </c>
    </row>
    <row r="35" spans="1:6" x14ac:dyDescent="0.2">
      <c r="A35" s="45" t="str">
        <f>Enero!A35</f>
        <v>MATERIAL EMPAQUE</v>
      </c>
      <c r="B35" s="45">
        <f>Julio!B35+Agosto!B35+Septiembre!B35+Octubre!B35+Noviembre!B35+Diciembre!B35</f>
        <v>12</v>
      </c>
      <c r="C35" s="45">
        <f>Julio!C35+Agosto!C35+Septiembre!C35+Octubre!C35+Noviembre!C35+Diciembre!C35</f>
        <v>894</v>
      </c>
      <c r="D35" s="45">
        <f>Julio!D35+Agosto!D35+Septiembre!D35+Octubre!D35+Noviembre!D35+Diciembre!D35</f>
        <v>0</v>
      </c>
      <c r="E35" s="45">
        <f>Julio!E35+Agosto!E35+Septiembre!E35+Octubre!E35+Noviembre!E35+Diciembre!E35</f>
        <v>0</v>
      </c>
      <c r="F35" s="45">
        <f>Julio!F35+Agosto!F35+Septiembre!F35+Octubre!F35+Noviembre!F35+Diciembre!F35</f>
        <v>0</v>
      </c>
    </row>
    <row r="36" spans="1:6" x14ac:dyDescent="0.2">
      <c r="A36" s="45" t="str">
        <f>Enero!A36</f>
        <v>MERLUZA</v>
      </c>
      <c r="B36" s="45">
        <f>Julio!B36+Agosto!B36+Septiembre!B36+Octubre!B36+Noviembre!B36+Diciembre!B36</f>
        <v>5635</v>
      </c>
      <c r="C36" s="45">
        <f>Julio!C36+Agosto!C36+Septiembre!C36+Octubre!C36+Noviembre!C36+Diciembre!C36</f>
        <v>0</v>
      </c>
      <c r="D36" s="45">
        <f>Julio!D36+Agosto!D36+Septiembre!D36+Octubre!D36+Noviembre!D36+Diciembre!D36</f>
        <v>1010</v>
      </c>
      <c r="E36" s="45">
        <f>Julio!E36+Agosto!E36+Septiembre!E36+Octubre!E36+Noviembre!E36+Diciembre!E36</f>
        <v>0</v>
      </c>
      <c r="F36" s="45">
        <f>Julio!F36+Agosto!F36+Septiembre!F36+Octubre!F36+Noviembre!F36+Diciembre!F36</f>
        <v>0</v>
      </c>
    </row>
    <row r="37" spans="1:6" x14ac:dyDescent="0.2">
      <c r="A37" s="45" t="str">
        <f>Enero!A37</f>
        <v>PESCADOS MARISCOS MOLUSCOS</v>
      </c>
      <c r="B37" s="45">
        <f>Julio!B37+Agosto!B37+Septiembre!B37+Octubre!B37+Noviembre!B37+Diciembre!B37</f>
        <v>75</v>
      </c>
      <c r="C37" s="45">
        <f>Julio!C37+Agosto!C37+Septiembre!C37+Octubre!C37+Noviembre!C37+Diciembre!C37</f>
        <v>0</v>
      </c>
      <c r="D37" s="45">
        <f>Julio!D37+Agosto!D37+Septiembre!D37+Octubre!D37+Noviembre!D37+Diciembre!D37</f>
        <v>1585</v>
      </c>
      <c r="E37" s="45">
        <f>Julio!E37+Agosto!E37+Septiembre!E37+Octubre!E37+Noviembre!E37+Diciembre!E37</f>
        <v>0</v>
      </c>
      <c r="F37" s="45">
        <f>Julio!F37+Agosto!F37+Septiembre!F37+Octubre!F37+Noviembre!F37+Diciembre!F37</f>
        <v>0</v>
      </c>
    </row>
    <row r="38" spans="1:6" x14ac:dyDescent="0.2">
      <c r="A38" s="45"/>
      <c r="B38" s="45"/>
      <c r="C38" s="45"/>
      <c r="D38" s="45"/>
      <c r="E38" s="45"/>
      <c r="F38" s="45"/>
    </row>
    <row r="39" spans="1:6" x14ac:dyDescent="0.2">
      <c r="A39" s="45" t="str">
        <f>Enero!A39</f>
        <v xml:space="preserve">OTROS </v>
      </c>
      <c r="B39" s="45">
        <f>Julio!B39+Agosto!B39+Septiembre!B39+Octubre!B39+Noviembre!B39+Diciembre!B39</f>
        <v>0</v>
      </c>
      <c r="C39" s="45">
        <f>Julio!C39+Agosto!C39+Septiembre!C39+Octubre!C39+Noviembre!C39+Diciembre!C39</f>
        <v>112</v>
      </c>
      <c r="D39" s="45">
        <f>Julio!D39+Agosto!D39+Septiembre!D39+Octubre!D39+Noviembre!D39+Diciembre!D39</f>
        <v>0</v>
      </c>
      <c r="E39" s="45">
        <f>Julio!E39+Agosto!E39+Septiembre!E39+Octubre!E39+Noviembre!E39+Diciembre!E39</f>
        <v>0</v>
      </c>
      <c r="F39" s="45">
        <f>Julio!F39+Agosto!F39+Septiembre!F39+Octubre!F39+Noviembre!F39+Diciembre!F39</f>
        <v>0</v>
      </c>
    </row>
    <row r="40" spans="1:6" x14ac:dyDescent="0.2">
      <c r="A40" s="47" t="str">
        <f>Enero!A40</f>
        <v>TOTAL SECTOR PESCA</v>
      </c>
      <c r="B40" s="47">
        <f>Julio!B40+Agosto!B40+Septiembre!B40+Octubre!B40+Noviembre!B40+Diciembre!B40</f>
        <v>56352</v>
      </c>
      <c r="C40" s="47">
        <f>Julio!C40+Agosto!C40+Septiembre!C40+Octubre!C40+Noviembre!C40+Diciembre!C40</f>
        <v>1469</v>
      </c>
      <c r="D40" s="47">
        <f>Julio!D40+Agosto!D40+Septiembre!D40+Octubre!D40+Noviembre!D40+Diciembre!D40</f>
        <v>54687</v>
      </c>
      <c r="E40" s="47">
        <f>Julio!E40+Agosto!E40+Septiembre!E40+Octubre!E40+Noviembre!E40+Diciembre!E40</f>
        <v>0</v>
      </c>
      <c r="F40" s="47">
        <f>Julio!F40+Agosto!F40+Septiembre!F40+Octubre!F40+Noviembre!F40+Diciembre!F40</f>
        <v>16575</v>
      </c>
    </row>
    <row r="41" spans="1:6" ht="6.75" customHeight="1" x14ac:dyDescent="0.2">
      <c r="A41" s="46"/>
      <c r="B41" s="46"/>
      <c r="C41" s="46"/>
      <c r="D41" s="46"/>
      <c r="E41" s="46"/>
      <c r="F41" s="46"/>
    </row>
    <row r="42" spans="1:6" x14ac:dyDescent="0.2">
      <c r="A42" s="45" t="str">
        <f>Enero!A42</f>
        <v>CUERO, PELO Y GRASA ANIMAL</v>
      </c>
      <c r="B42" s="45">
        <f>Julio!B42+Agosto!B42+Septiembre!B42+Octubre!B42+Noviembre!B42+Diciembre!B42</f>
        <v>16</v>
      </c>
      <c r="C42" s="45">
        <f>Julio!C42+Agosto!C42+Septiembre!C42+Octubre!C42+Noviembre!C42+Diciembre!C42</f>
        <v>0</v>
      </c>
      <c r="D42" s="45">
        <f>Julio!D42+Agosto!D42+Septiembre!D42+Octubre!D42+Noviembre!D42+Diciembre!D42</f>
        <v>0</v>
      </c>
      <c r="E42" s="45">
        <f>Julio!E42+Agosto!E42+Septiembre!E42+Octubre!E42+Noviembre!E42+Diciembre!E42</f>
        <v>0</v>
      </c>
      <c r="F42" s="45">
        <f>Julio!F42+Agosto!F42+Septiembre!F42+Octubre!F42+Noviembre!F42+Diciembre!F42</f>
        <v>0</v>
      </c>
    </row>
    <row r="43" spans="1:6" x14ac:dyDescent="0.2">
      <c r="A43" s="45" t="str">
        <f>Enero!A43</f>
        <v>LANA</v>
      </c>
      <c r="B43" s="45">
        <f>Julio!B43+Agosto!B43+Septiembre!B43+Octubre!B43+Noviembre!B43+Diciembre!B43</f>
        <v>644</v>
      </c>
      <c r="C43" s="45">
        <f>Julio!C43+Agosto!C43+Septiembre!C43+Octubre!C43+Noviembre!C43+Diciembre!C43</f>
        <v>0</v>
      </c>
      <c r="D43" s="45">
        <f>Julio!D43+Agosto!D43+Septiembre!D43+Octubre!D43+Noviembre!D43+Diciembre!D43</f>
        <v>0</v>
      </c>
      <c r="E43" s="45">
        <f>Julio!E43+Agosto!E43+Septiembre!E43+Octubre!E43+Noviembre!E43+Diciembre!E43</f>
        <v>0</v>
      </c>
      <c r="F43" s="45">
        <f>Julio!F43+Agosto!F43+Septiembre!F43+Octubre!F43+Noviembre!F43+Diciembre!F43</f>
        <v>0</v>
      </c>
    </row>
    <row r="44" spans="1:6" x14ac:dyDescent="0.2">
      <c r="A44" s="45" t="str">
        <f>Enero!A44</f>
        <v>LANA LAVADA</v>
      </c>
      <c r="B44" s="45">
        <f>Julio!B44+Agosto!B44+Septiembre!B44+Octubre!B44+Noviembre!B44+Diciembre!B44</f>
        <v>75</v>
      </c>
      <c r="C44" s="45">
        <f>Julio!C44+Agosto!C44+Septiembre!C44+Octubre!C44+Noviembre!C44+Diciembre!C44</f>
        <v>0</v>
      </c>
      <c r="D44" s="45">
        <f>Julio!D44+Agosto!D44+Septiembre!D44+Octubre!D44+Noviembre!D44+Diciembre!D44</f>
        <v>0</v>
      </c>
      <c r="E44" s="45">
        <f>Julio!E44+Agosto!E44+Septiembre!E44+Octubre!E44+Noviembre!E44+Diciembre!E44</f>
        <v>0</v>
      </c>
      <c r="F44" s="45">
        <f>Julio!F44+Agosto!F44+Septiembre!F44+Octubre!F44+Noviembre!F44+Diciembre!F44</f>
        <v>0</v>
      </c>
    </row>
    <row r="45" spans="1:6" x14ac:dyDescent="0.2">
      <c r="A45" s="45" t="str">
        <f>Enero!A45</f>
        <v>LANA SUCIA</v>
      </c>
      <c r="B45" s="45">
        <f>Julio!B45+Agosto!B45+Septiembre!B45+Octubre!B45+Noviembre!B45+Diciembre!B45</f>
        <v>0</v>
      </c>
      <c r="C45" s="45">
        <f>Julio!C45+Agosto!C45+Septiembre!C45+Octubre!C45+Noviembre!C45+Diciembre!C45</f>
        <v>0</v>
      </c>
      <c r="D45" s="45">
        <f>Julio!D45+Agosto!D45+Septiembre!D45+Octubre!D45+Noviembre!D45+Diciembre!D45</f>
        <v>0</v>
      </c>
      <c r="E45" s="45">
        <f>Julio!E45+Agosto!E45+Septiembre!E45+Octubre!E45+Noviembre!E45+Diciembre!E45</f>
        <v>0</v>
      </c>
      <c r="F45" s="45">
        <f>Julio!F45+Agosto!F45+Septiembre!F45+Octubre!F45+Noviembre!F45+Diciembre!F45</f>
        <v>0</v>
      </c>
    </row>
    <row r="46" spans="1:6" x14ac:dyDescent="0.2">
      <c r="A46" s="45" t="str">
        <f>Enero!A46</f>
        <v>LANA TOPS</v>
      </c>
      <c r="B46" s="45">
        <f>Julio!B46+Agosto!B46+Septiembre!B46+Octubre!B46+Noviembre!B46+Diciembre!B46</f>
        <v>0</v>
      </c>
      <c r="C46" s="45">
        <f>Julio!C46+Agosto!C46+Septiembre!C46+Octubre!C46+Noviembre!C46+Diciembre!C46</f>
        <v>0</v>
      </c>
      <c r="D46" s="45">
        <f>Julio!D46+Agosto!D46+Septiembre!D46+Octubre!D46+Noviembre!D46+Diciembre!D46</f>
        <v>0</v>
      </c>
      <c r="E46" s="45">
        <f>Julio!E46+Agosto!E46+Septiembre!E46+Octubre!E46+Noviembre!E46+Diciembre!E46</f>
        <v>0</v>
      </c>
      <c r="F46" s="45">
        <f>Julio!F46+Agosto!F46+Septiembre!F46+Octubre!F46+Noviembre!F46+Diciembre!F46</f>
        <v>0</v>
      </c>
    </row>
    <row r="47" spans="1:6" x14ac:dyDescent="0.2">
      <c r="A47" s="45" t="str">
        <f>Enero!A47</f>
        <v>LANA BLUOSSE</v>
      </c>
      <c r="B47" s="45">
        <f>Julio!B47+Agosto!B47+Septiembre!B47+Octubre!B47+Noviembre!B47+Diciembre!B47</f>
        <v>157</v>
      </c>
      <c r="C47" s="45">
        <f>Julio!C47+Agosto!C47+Septiembre!C47+Octubre!C47+Noviembre!C47+Diciembre!C47</f>
        <v>0</v>
      </c>
      <c r="D47" s="45">
        <f>Julio!D47+Agosto!D47+Septiembre!D47+Octubre!D47+Noviembre!D47+Diciembre!D47</f>
        <v>0</v>
      </c>
      <c r="E47" s="45">
        <f>Julio!E47+Agosto!E47+Septiembre!E47+Octubre!E47+Noviembre!E47+Diciembre!E47</f>
        <v>0</v>
      </c>
      <c r="F47" s="45">
        <f>Julio!F47+Agosto!F47+Septiembre!F47+Octubre!F47+Noviembre!F47+Diciembre!F47</f>
        <v>0</v>
      </c>
    </row>
    <row r="48" spans="1:6" x14ac:dyDescent="0.2">
      <c r="A48" s="45" t="str">
        <f>Enero!A48</f>
        <v>LANA PEINADA</v>
      </c>
      <c r="B48" s="45">
        <f>Julio!B48+Agosto!B48+Septiembre!B48+Octubre!B48+Noviembre!B48+Diciembre!B48</f>
        <v>290</v>
      </c>
      <c r="C48" s="45">
        <f>Julio!C48+Agosto!C48+Septiembre!C48+Octubre!C48+Noviembre!C48+Diciembre!C48</f>
        <v>0</v>
      </c>
      <c r="D48" s="45">
        <f>Julio!D48+Agosto!D48+Septiembre!D48+Octubre!D48+Noviembre!D48+Diciembre!D48</f>
        <v>0</v>
      </c>
      <c r="E48" s="45">
        <f>Julio!E48+Agosto!E48+Septiembre!E48+Octubre!E48+Noviembre!E48+Diciembre!E48</f>
        <v>0</v>
      </c>
      <c r="F48" s="45">
        <f>Julio!F48+Agosto!F48+Septiembre!F48+Octubre!F48+Noviembre!F48+Diciembre!F48</f>
        <v>0</v>
      </c>
    </row>
    <row r="49" spans="1:6" x14ac:dyDescent="0.2">
      <c r="A49" s="45"/>
      <c r="B49" s="45"/>
      <c r="C49" s="45"/>
      <c r="D49" s="45"/>
      <c r="E49" s="45"/>
      <c r="F49" s="45"/>
    </row>
    <row r="50" spans="1:6" x14ac:dyDescent="0.2">
      <c r="A50" s="45" t="str">
        <f>Enero!A50</f>
        <v xml:space="preserve">OTROS </v>
      </c>
      <c r="B50" s="45">
        <f>Julio!B50+Agosto!B50+Septiembre!B50+Octubre!B50+Noviembre!B50+Diciembre!B50</f>
        <v>0</v>
      </c>
      <c r="C50" s="45">
        <f>Julio!C50+Agosto!C50+Septiembre!C50+Octubre!C50+Noviembre!C50+Diciembre!C50</f>
        <v>26</v>
      </c>
      <c r="D50" s="45">
        <f>Julio!D50+Agosto!D50+Septiembre!D50+Octubre!D50+Noviembre!D50+Diciembre!D50</f>
        <v>0</v>
      </c>
      <c r="E50" s="45">
        <f>Julio!E50+Agosto!E50+Septiembre!E50+Octubre!E50+Noviembre!E50+Diciembre!E50</f>
        <v>0</v>
      </c>
      <c r="F50" s="45">
        <f>Julio!F50+Agosto!F50+Septiembre!F50+Octubre!F50+Noviembre!F50+Diciembre!F50</f>
        <v>0</v>
      </c>
    </row>
    <row r="51" spans="1:6" x14ac:dyDescent="0.2">
      <c r="A51" s="47" t="str">
        <f>Enero!A51</f>
        <v>TOTAL SECTOR LANERO</v>
      </c>
      <c r="B51" s="47">
        <f>Julio!B51+Agosto!B51+Septiembre!B51+Octubre!B51+Noviembre!B51+Diciembre!B51</f>
        <v>1182</v>
      </c>
      <c r="C51" s="47">
        <f>Julio!C51+Agosto!C51+Septiembre!C51+Octubre!C51+Noviembre!C51+Diciembre!C51</f>
        <v>26</v>
      </c>
      <c r="D51" s="47">
        <f>Julio!D51+Agosto!D51+Septiembre!D51+Octubre!D51+Noviembre!D51+Diciembre!D51</f>
        <v>0</v>
      </c>
      <c r="E51" s="47">
        <f>Julio!E51+Agosto!E51+Septiembre!E51+Octubre!E51+Noviembre!E51+Diciembre!E51</f>
        <v>0</v>
      </c>
      <c r="F51" s="47">
        <f>Julio!F51+Agosto!F51+Septiembre!F51+Octubre!F51+Noviembre!F51+Diciembre!F51</f>
        <v>0</v>
      </c>
    </row>
    <row r="52" spans="1:6" ht="6.75" customHeight="1" x14ac:dyDescent="0.2">
      <c r="A52" s="46"/>
      <c r="B52" s="46"/>
      <c r="C52" s="46"/>
      <c r="D52" s="46"/>
      <c r="E52" s="46"/>
      <c r="F52" s="46"/>
    </row>
    <row r="53" spans="1:6" x14ac:dyDescent="0.2">
      <c r="A53" s="45" t="str">
        <f>Enero!A53</f>
        <v>PORFIDO</v>
      </c>
      <c r="B53" s="45">
        <f>Julio!B53+Agosto!B53+Septiembre!B53+Octubre!B53+Noviembre!B53+Diciembre!B53</f>
        <v>0</v>
      </c>
      <c r="C53" s="45">
        <f>Julio!C53+Agosto!C53+Septiembre!C53+Octubre!C53+Noviembre!C53+Diciembre!C53</f>
        <v>0</v>
      </c>
      <c r="D53" s="45">
        <f>Julio!D53+Agosto!D53+Septiembre!D53+Octubre!D53+Noviembre!D53+Diciembre!D53</f>
        <v>0</v>
      </c>
      <c r="E53" s="45">
        <f>Julio!E53+Agosto!E53+Septiembre!E53+Octubre!E53+Noviembre!E53+Diciembre!E53</f>
        <v>0</v>
      </c>
      <c r="F53" s="45">
        <f>Julio!F53+Agosto!F53+Septiembre!F53+Octubre!F53+Noviembre!F53+Diciembre!F53</f>
        <v>0</v>
      </c>
    </row>
    <row r="54" spans="1:6" x14ac:dyDescent="0.2">
      <c r="A54" s="45"/>
      <c r="B54" s="45"/>
      <c r="C54" s="45"/>
      <c r="D54" s="45"/>
      <c r="E54" s="45"/>
      <c r="F54" s="45"/>
    </row>
    <row r="55" spans="1:6" x14ac:dyDescent="0.2">
      <c r="A55" s="45" t="str">
        <f>Enero!A55</f>
        <v xml:space="preserve">OTROS </v>
      </c>
      <c r="B55" s="45">
        <f>Julio!B55+Agosto!B55+Septiembre!B55+Octubre!B55+Noviembre!B55+Diciembre!B55</f>
        <v>0</v>
      </c>
      <c r="C55" s="45">
        <f>Julio!C55+Agosto!C55+Septiembre!C55+Octubre!C55+Noviembre!C55+Diciembre!C55</f>
        <v>0</v>
      </c>
      <c r="D55" s="45">
        <f>Julio!D55+Agosto!D55+Septiembre!D55+Octubre!D55+Noviembre!D55+Diciembre!D55</f>
        <v>0</v>
      </c>
      <c r="E55" s="45">
        <f>Julio!E55+Agosto!E55+Septiembre!E55+Octubre!E55+Noviembre!E55+Diciembre!E55</f>
        <v>0</v>
      </c>
      <c r="F55" s="45">
        <f>Julio!F55+Agosto!F55+Septiembre!F55+Octubre!F55+Noviembre!F55+Diciembre!F55</f>
        <v>0</v>
      </c>
    </row>
    <row r="56" spans="1:6" x14ac:dyDescent="0.2">
      <c r="A56" s="47" t="str">
        <f>Enero!A56</f>
        <v>TOTAL SECTOR PORFIDOS</v>
      </c>
      <c r="B56" s="47">
        <f>Julio!B56+Agosto!B56+Septiembre!B56+Octubre!B56+Noviembre!B56+Diciembre!B56</f>
        <v>0</v>
      </c>
      <c r="C56" s="47">
        <f>Julio!C56+Agosto!C56+Septiembre!C56+Octubre!C56+Noviembre!C56+Diciembre!C56</f>
        <v>0</v>
      </c>
      <c r="D56" s="47">
        <f>Julio!D56+Agosto!D56+Septiembre!D56+Octubre!D56+Noviembre!D56+Diciembre!D56</f>
        <v>0</v>
      </c>
      <c r="E56" s="47">
        <f>Julio!E56+Agosto!E56+Septiembre!E56+Octubre!E56+Noviembre!E56+Diciembre!E56</f>
        <v>0</v>
      </c>
      <c r="F56" s="47">
        <f>Julio!F56+Agosto!F56+Septiembre!F56+Octubre!F56+Noviembre!F56+Diciembre!F56</f>
        <v>0</v>
      </c>
    </row>
    <row r="57" spans="1:6" ht="6.75" customHeight="1" x14ac:dyDescent="0.2">
      <c r="A57" s="46"/>
      <c r="B57" s="46"/>
      <c r="C57" s="46"/>
      <c r="D57" s="46"/>
      <c r="E57" s="46"/>
      <c r="F57" s="46"/>
    </row>
    <row r="58" spans="1:6" x14ac:dyDescent="0.2">
      <c r="A58" s="45" t="str">
        <f>Enero!A58</f>
        <v>FRUTA DESHIDRATADA</v>
      </c>
      <c r="B58" s="45">
        <f>Julio!B58+Agosto!B58+Septiembre!B58+Octubre!B58+Noviembre!B58+Diciembre!B58</f>
        <v>0</v>
      </c>
      <c r="C58" s="45">
        <f>Julio!C58+Agosto!C58+Septiembre!C58+Octubre!C58+Noviembre!C58+Diciembre!C58</f>
        <v>0</v>
      </c>
      <c r="D58" s="45">
        <f>Julio!D58+Agosto!D58+Septiembre!D58+Octubre!D58+Noviembre!D58+Diciembre!D58</f>
        <v>0</v>
      </c>
      <c r="E58" s="45">
        <f>Julio!E58+Agosto!E58+Septiembre!E58+Octubre!E58+Noviembre!E58+Diciembre!E58</f>
        <v>0</v>
      </c>
      <c r="F58" s="45">
        <f>Julio!F58+Agosto!F58+Septiembre!F58+Octubre!F58+Noviembre!F58+Diciembre!F58</f>
        <v>0</v>
      </c>
    </row>
    <row r="59" spans="1:6" x14ac:dyDescent="0.2">
      <c r="A59" s="45" t="str">
        <f>Enero!A59</f>
        <v>JUGOS CONCENTRADOS</v>
      </c>
      <c r="B59" s="45">
        <f>Julio!B59+Agosto!B59+Septiembre!B59+Octubre!B59+Noviembre!B59+Diciembre!B59</f>
        <v>0</v>
      </c>
      <c r="C59" s="45">
        <f>Julio!C59+Agosto!C59+Septiembre!C59+Octubre!C59+Noviembre!C59+Diciembre!C59</f>
        <v>0</v>
      </c>
      <c r="D59" s="45">
        <f>Julio!D59+Agosto!D59+Septiembre!D59+Octubre!D59+Noviembre!D59+Diciembre!D59</f>
        <v>0</v>
      </c>
      <c r="E59" s="45">
        <f>Julio!E59+Agosto!E59+Septiembre!E59+Octubre!E59+Noviembre!E59+Diciembre!E59</f>
        <v>0</v>
      </c>
      <c r="F59" s="45">
        <f>Julio!F59+Agosto!F59+Septiembre!F59+Octubre!F59+Noviembre!F59+Diciembre!F59</f>
        <v>0</v>
      </c>
    </row>
    <row r="60" spans="1:6" x14ac:dyDescent="0.2">
      <c r="A60" s="45" t="str">
        <f>Enero!A60</f>
        <v>MANZANA REFRIGERADA</v>
      </c>
      <c r="B60" s="45">
        <f>Julio!B60+Agosto!B60+Septiembre!B60+Octubre!B60+Noviembre!B60+Diciembre!B60</f>
        <v>0</v>
      </c>
      <c r="C60" s="45">
        <f>Julio!C60+Agosto!C60+Septiembre!C60+Octubre!C60+Noviembre!C60+Diciembre!C60</f>
        <v>0</v>
      </c>
      <c r="D60" s="45">
        <f>Julio!D60+Agosto!D60+Septiembre!D60+Octubre!D60+Noviembre!D60+Diciembre!D60</f>
        <v>0</v>
      </c>
      <c r="E60" s="45">
        <f>Julio!E60+Agosto!E60+Septiembre!E60+Octubre!E60+Noviembre!E60+Diciembre!E60</f>
        <v>0</v>
      </c>
      <c r="F60" s="45">
        <f>Julio!F60+Agosto!F60+Septiembre!F60+Octubre!F60+Noviembre!F60+Diciembre!F60</f>
        <v>0</v>
      </c>
    </row>
    <row r="61" spans="1:6" x14ac:dyDescent="0.2">
      <c r="A61" s="45" t="str">
        <f>Enero!A61</f>
        <v>PERA REFRIGERADA</v>
      </c>
      <c r="B61" s="45">
        <f>Julio!B61+Agosto!B61+Septiembre!B61+Octubre!B61+Noviembre!B61+Diciembre!B61</f>
        <v>0</v>
      </c>
      <c r="C61" s="45">
        <f>Julio!C61+Agosto!C61+Septiembre!C61+Octubre!C61+Noviembre!C61+Diciembre!C61</f>
        <v>0</v>
      </c>
      <c r="D61" s="45">
        <f>Julio!D61+Agosto!D61+Septiembre!D61+Octubre!D61+Noviembre!D61+Diciembre!D61</f>
        <v>0</v>
      </c>
      <c r="E61" s="45">
        <f>Julio!E61+Agosto!E61+Septiembre!E61+Octubre!E61+Noviembre!E61+Diciembre!E61</f>
        <v>0</v>
      </c>
      <c r="F61" s="45">
        <f>Julio!F61+Agosto!F61+Septiembre!F61+Octubre!F61+Noviembre!F61+Diciembre!F61</f>
        <v>0</v>
      </c>
    </row>
    <row r="62" spans="1:6" x14ac:dyDescent="0.2">
      <c r="A62" s="45"/>
      <c r="B62" s="45"/>
      <c r="C62" s="45"/>
      <c r="D62" s="45"/>
      <c r="E62" s="45"/>
      <c r="F62" s="45"/>
    </row>
    <row r="63" spans="1:6" x14ac:dyDescent="0.2">
      <c r="A63" s="45" t="str">
        <f>Enero!A63</f>
        <v xml:space="preserve">OTROS </v>
      </c>
      <c r="B63" s="45">
        <f>Julio!B63+Agosto!B63+Septiembre!B63+Octubre!B63+Noviembre!B63+Diciembre!B63</f>
        <v>0</v>
      </c>
      <c r="C63" s="45">
        <f>Julio!C63+Agosto!C63+Septiembre!C63+Octubre!C63+Noviembre!C63+Diciembre!C63</f>
        <v>0</v>
      </c>
      <c r="D63" s="45">
        <f>Julio!D63+Agosto!D63+Septiembre!D63+Octubre!D63+Noviembre!D63+Diciembre!D63</f>
        <v>0</v>
      </c>
      <c r="E63" s="45">
        <f>Julio!E63+Agosto!E63+Septiembre!E63+Octubre!E63+Noviembre!E63+Diciembre!E63</f>
        <v>0</v>
      </c>
      <c r="F63" s="45">
        <f>Julio!F63+Agosto!F63+Septiembre!F63+Octubre!F63+Noviembre!F63+Diciembre!F63</f>
        <v>0</v>
      </c>
    </row>
    <row r="64" spans="1:6" x14ac:dyDescent="0.2">
      <c r="A64" s="47" t="str">
        <f>Enero!A64</f>
        <v>TOTAL SECTOR FRUTAS Y VERDURAS</v>
      </c>
      <c r="B64" s="45">
        <f>Julio!B64+Agosto!B64+Septiembre!B64+Octubre!B64+Noviembre!B64+Diciembre!B64</f>
        <v>0</v>
      </c>
      <c r="C64" s="45">
        <f>Julio!C64+Agosto!C64+Septiembre!C64+Octubre!C64+Noviembre!C64+Diciembre!C64</f>
        <v>0</v>
      </c>
      <c r="D64" s="45">
        <f>Julio!D64+Agosto!D64+Septiembre!D64+Octubre!D64+Noviembre!D64+Diciembre!D64</f>
        <v>0</v>
      </c>
      <c r="E64" s="45">
        <f>Julio!E64+Agosto!E64+Septiembre!E64+Octubre!E64+Noviembre!E64+Diciembre!E64</f>
        <v>0</v>
      </c>
      <c r="F64" s="45">
        <f>Julio!F64+Agosto!F64+Septiembre!F64+Octubre!F64+Noviembre!F64+Diciembre!F64</f>
        <v>0</v>
      </c>
    </row>
    <row r="65" spans="1:6" ht="6.75" customHeight="1" x14ac:dyDescent="0.2">
      <c r="A65" s="46"/>
      <c r="B65" s="46"/>
      <c r="C65" s="46"/>
      <c r="D65" s="46"/>
      <c r="E65" s="46"/>
      <c r="F65" s="46"/>
    </row>
    <row r="66" spans="1:6" x14ac:dyDescent="0.2">
      <c r="A66" s="45" t="str">
        <f>Enero!A66</f>
        <v>ALGAS MARINAS</v>
      </c>
      <c r="B66" s="45">
        <f>Julio!B66+Agosto!B66+Septiembre!B66+Octubre!B66+Noviembre!B66+Diciembre!B66</f>
        <v>0</v>
      </c>
      <c r="C66" s="45">
        <f>Julio!C66+Agosto!C66+Septiembre!C66+Octubre!C66+Noviembre!C66+Diciembre!C66</f>
        <v>0</v>
      </c>
      <c r="D66" s="45">
        <f>Julio!D66+Agosto!D66+Septiembre!D66+Octubre!D66+Noviembre!D66+Diciembre!D66</f>
        <v>0</v>
      </c>
      <c r="E66" s="45">
        <f>Julio!E66+Agosto!E66+Septiembre!E66+Octubre!E66+Noviembre!E66+Diciembre!E66</f>
        <v>0</v>
      </c>
      <c r="F66" s="45">
        <f>Julio!F66+Agosto!F66+Septiembre!F66+Octubre!F66+Noviembre!F66+Diciembre!F66</f>
        <v>0</v>
      </c>
    </row>
    <row r="67" spans="1:6" x14ac:dyDescent="0.2">
      <c r="A67" s="45" t="str">
        <f>Enero!A67</f>
        <v>CARNES COMESTIBLES</v>
      </c>
      <c r="B67" s="45">
        <f>Julio!B67+Agosto!B67+Septiembre!B67+Octubre!B67+Noviembre!B67+Diciembre!B67</f>
        <v>0</v>
      </c>
      <c r="C67" s="45">
        <f>Julio!C67+Agosto!C67+Septiembre!C67+Octubre!C67+Noviembre!C67+Diciembre!C67</f>
        <v>0</v>
      </c>
      <c r="D67" s="45">
        <f>Julio!D67+Agosto!D67+Septiembre!D67+Octubre!D67+Noviembre!D67+Diciembre!D67</f>
        <v>0</v>
      </c>
      <c r="E67" s="45">
        <f>Julio!E67+Agosto!E67+Septiembre!E67+Octubre!E67+Noviembre!E67+Diciembre!E67</f>
        <v>0</v>
      </c>
      <c r="F67" s="45">
        <f>Julio!F67+Agosto!F67+Septiembre!F67+Octubre!F67+Noviembre!F67+Diciembre!F67</f>
        <v>0</v>
      </c>
    </row>
    <row r="68" spans="1:6" x14ac:dyDescent="0.2">
      <c r="A68" s="45" t="str">
        <f>Enero!A68</f>
        <v>CONCENTRADO DE PLATA</v>
      </c>
      <c r="B68" s="45">
        <f>Julio!B68+Agosto!B68+Septiembre!B68+Octubre!B68+Noviembre!B68+Diciembre!B68</f>
        <v>2479</v>
      </c>
      <c r="C68" s="45">
        <f>Julio!C68+Agosto!C68+Septiembre!C68+Octubre!C68+Noviembre!C68+Diciembre!C68</f>
        <v>0</v>
      </c>
      <c r="D68" s="45">
        <f>Julio!D68+Agosto!D68+Septiembre!D68+Octubre!D68+Noviembre!D68+Diciembre!D68</f>
        <v>0</v>
      </c>
      <c r="E68" s="45">
        <f>Julio!E68+Agosto!E68+Septiembre!E68+Octubre!E68+Noviembre!E68+Diciembre!E68</f>
        <v>0</v>
      </c>
      <c r="F68" s="45">
        <f>Julio!F68+Agosto!F68+Septiembre!F68+Octubre!F68+Noviembre!F68+Diciembre!F68</f>
        <v>0</v>
      </c>
    </row>
    <row r="69" spans="1:6" x14ac:dyDescent="0.2">
      <c r="A69" s="45" t="str">
        <f>Enero!A69</f>
        <v>DONACIONES INTERNAC.</v>
      </c>
      <c r="B69" s="45">
        <f>Julio!B69+Agosto!B69+Septiembre!B69+Octubre!B69+Noviembre!B69+Diciembre!B69</f>
        <v>0</v>
      </c>
      <c r="C69" s="45">
        <f>Julio!C69+Agosto!C69+Septiembre!C69+Octubre!C69+Noviembre!C69+Diciembre!C69</f>
        <v>0</v>
      </c>
      <c r="D69" s="45">
        <f>Julio!D69+Agosto!D69+Septiembre!D69+Octubre!D69+Noviembre!D69+Diciembre!D69</f>
        <v>0</v>
      </c>
      <c r="E69" s="45">
        <f>Julio!E69+Agosto!E69+Septiembre!E69+Octubre!E69+Noviembre!E69+Diciembre!E69</f>
        <v>0</v>
      </c>
      <c r="F69" s="45">
        <f>Julio!F69+Agosto!F69+Septiembre!F69+Octubre!F69+Noviembre!F69+Diciembre!F69</f>
        <v>0</v>
      </c>
    </row>
    <row r="70" spans="1:6" x14ac:dyDescent="0.2">
      <c r="A70" s="45" t="str">
        <f>Enero!A70</f>
        <v>EFECTOS PERSONALES</v>
      </c>
      <c r="B70" s="45">
        <f>Julio!B70+Agosto!B70+Septiembre!B70+Octubre!B70+Noviembre!B70+Diciembre!B70</f>
        <v>0</v>
      </c>
      <c r="C70" s="45">
        <f>Julio!C70+Agosto!C70+Septiembre!C70+Octubre!C70+Noviembre!C70+Diciembre!C70</f>
        <v>0</v>
      </c>
      <c r="D70" s="45">
        <f>Julio!D70+Agosto!D70+Septiembre!D70+Octubre!D70+Noviembre!D70+Diciembre!D70</f>
        <v>0</v>
      </c>
      <c r="E70" s="45">
        <f>Julio!E70+Agosto!E70+Septiembre!E70+Octubre!E70+Noviembre!E70+Diciembre!E70</f>
        <v>0</v>
      </c>
      <c r="F70" s="45">
        <f>Julio!F70+Agosto!F70+Septiembre!F70+Octubre!F70+Noviembre!F70+Diciembre!F70</f>
        <v>0</v>
      </c>
    </row>
    <row r="71" spans="1:6" x14ac:dyDescent="0.2">
      <c r="A71" s="45" t="str">
        <f>Enero!A71</f>
        <v>MAQUINAS Y APARATOS</v>
      </c>
      <c r="B71" s="45">
        <f>Julio!B71+Agosto!B71+Septiembre!B71+Octubre!B71+Noviembre!B71+Diciembre!B71</f>
        <v>0</v>
      </c>
      <c r="C71" s="45">
        <f>Julio!C71+Agosto!C71+Septiembre!C71+Octubre!C71+Noviembre!C71+Diciembre!C71</f>
        <v>0</v>
      </c>
      <c r="D71" s="45">
        <f>Julio!D71+Agosto!D71+Septiembre!D71+Octubre!D71+Noviembre!D71+Diciembre!D71</f>
        <v>0</v>
      </c>
      <c r="E71" s="45">
        <f>Julio!E71+Agosto!E71+Septiembre!E71+Octubre!E71+Noviembre!E71+Diciembre!E71</f>
        <v>0</v>
      </c>
      <c r="F71" s="45">
        <f>Julio!F71+Agosto!F71+Septiembre!F71+Octubre!F71+Noviembre!F71+Diciembre!F71</f>
        <v>0</v>
      </c>
    </row>
    <row r="72" spans="1:6" x14ac:dyDescent="0.2">
      <c r="A72" s="45" t="str">
        <f>Enero!A72</f>
        <v>GENERADORES EOLICOS</v>
      </c>
      <c r="B72" s="45">
        <f>Julio!B72+Agosto!B72+Septiembre!B72+Octubre!B72+Noviembre!B72+Diciembre!B72</f>
        <v>0</v>
      </c>
      <c r="C72" s="45">
        <f>Julio!C72+Agosto!C72+Septiembre!C72+Octubre!C72+Noviembre!C72+Diciembre!C72</f>
        <v>4907</v>
      </c>
      <c r="D72" s="45">
        <f>Julio!D72+Agosto!D72+Septiembre!D72+Octubre!D72+Noviembre!D72+Diciembre!D72</f>
        <v>0</v>
      </c>
      <c r="E72" s="45">
        <f>Julio!E72+Agosto!E72+Septiembre!E72+Octubre!E72+Noviembre!E72+Diciembre!E72</f>
        <v>0</v>
      </c>
      <c r="F72" s="45">
        <f>Julio!F72+Agosto!F72+Septiembre!F72+Octubre!F72+Noviembre!F72+Diciembre!F72</f>
        <v>0</v>
      </c>
    </row>
    <row r="73" spans="1:6" x14ac:dyDescent="0.2">
      <c r="A73" s="45" t="str">
        <f>Enero!A73</f>
        <v>GRUAS Y ELEMENTOS DE IZAJES</v>
      </c>
      <c r="B73" s="45">
        <f>Julio!B73+Agosto!B73+Septiembre!B73+Octubre!B73+Noviembre!B73+Diciembre!B73</f>
        <v>0</v>
      </c>
      <c r="C73" s="45">
        <f>Julio!C73+Agosto!C73+Septiembre!C73+Octubre!C73+Noviembre!C73+Diciembre!C73</f>
        <v>0</v>
      </c>
      <c r="D73" s="45">
        <f>Julio!D73+Agosto!D73+Septiembre!D73+Octubre!D73+Noviembre!D73+Diciembre!D73</f>
        <v>0</v>
      </c>
      <c r="E73" s="45">
        <f>Julio!E73+Agosto!E73+Septiembre!E73+Octubre!E73+Noviembre!E73+Diciembre!E73</f>
        <v>0</v>
      </c>
      <c r="F73" s="45">
        <f>Julio!F73+Agosto!F73+Septiembre!F73+Octubre!F73+Noviembre!F73+Diciembre!F73</f>
        <v>0</v>
      </c>
    </row>
    <row r="74" spans="1:6" x14ac:dyDescent="0.2">
      <c r="A74" s="45"/>
      <c r="B74" s="45"/>
      <c r="C74" s="45"/>
      <c r="D74" s="45"/>
      <c r="E74" s="45"/>
      <c r="F74" s="45"/>
    </row>
    <row r="75" spans="1:6" x14ac:dyDescent="0.2">
      <c r="A75" s="45" t="str">
        <f>Enero!A75</f>
        <v xml:space="preserve">OTROS </v>
      </c>
      <c r="B75" s="45">
        <f>Julio!B75+Agosto!B75+Septiembre!B75+Octubre!B75+Noviembre!B75+Diciembre!B75</f>
        <v>1337</v>
      </c>
      <c r="C75" s="45">
        <f>Julio!C75+Agosto!C75+Septiembre!C75+Octubre!C75+Noviembre!C75+Diciembre!C75</f>
        <v>3972</v>
      </c>
      <c r="D75" s="45">
        <f>Julio!D75+Agosto!D75+Septiembre!D75+Octubre!D75+Noviembre!D75+Diciembre!D75</f>
        <v>0</v>
      </c>
      <c r="E75" s="45">
        <f>Julio!E75+Agosto!E75+Septiembre!E75+Octubre!E75+Noviembre!E75+Diciembre!E75</f>
        <v>0</v>
      </c>
      <c r="F75" s="45">
        <f>Julio!F75+Agosto!F75+Septiembre!F75+Octubre!F75+Noviembre!F75+Diciembre!F75</f>
        <v>0</v>
      </c>
    </row>
    <row r="76" spans="1:6" x14ac:dyDescent="0.2">
      <c r="A76" s="47" t="str">
        <f>Enero!A76</f>
        <v>TOTAL SECTOR OTRAS MERCADERIAS</v>
      </c>
      <c r="B76" s="47">
        <f>Julio!B76+Agosto!B76+Septiembre!B76+Octubre!B76+Noviembre!B76+Diciembre!B76</f>
        <v>3816</v>
      </c>
      <c r="C76" s="47">
        <f>Julio!C76+Agosto!C76+Septiembre!C76+Octubre!C76+Noviembre!C76+Diciembre!C76</f>
        <v>8879</v>
      </c>
      <c r="D76" s="47">
        <f>Julio!D76+Agosto!D76+Septiembre!D76+Octubre!D76+Noviembre!D76+Diciembre!D76</f>
        <v>0</v>
      </c>
      <c r="E76" s="47">
        <f>Julio!E76+Agosto!E76+Septiembre!E76+Octubre!E76+Noviembre!E76+Diciembre!E76</f>
        <v>0</v>
      </c>
      <c r="F76" s="47">
        <f>Julio!F76+Agosto!F76+Septiembre!F76+Octubre!F76+Noviembre!F76+Diciembre!F76</f>
        <v>0</v>
      </c>
    </row>
    <row r="77" spans="1:6" ht="6.75" customHeight="1" x14ac:dyDescent="0.2">
      <c r="A77" s="46"/>
      <c r="B77" s="46"/>
      <c r="C77" s="46"/>
      <c r="D77" s="46"/>
      <c r="E77" s="46"/>
      <c r="F77" s="46"/>
    </row>
    <row r="78" spans="1:6" x14ac:dyDescent="0.2">
      <c r="A78" s="48" t="s">
        <v>146</v>
      </c>
      <c r="B78" s="49">
        <f t="shared" ref="B78:F78" si="0">+B28+B40+B51+B56+B64+B76</f>
        <v>297126</v>
      </c>
      <c r="C78" s="49">
        <f t="shared" si="0"/>
        <v>424218</v>
      </c>
      <c r="D78" s="49">
        <f t="shared" si="0"/>
        <v>197217</v>
      </c>
      <c r="E78" s="49">
        <f t="shared" si="0"/>
        <v>0</v>
      </c>
      <c r="F78" s="49">
        <f t="shared" si="0"/>
        <v>16575</v>
      </c>
    </row>
    <row r="79" spans="1:6" ht="15.75" x14ac:dyDescent="0.25">
      <c r="A79" s="50" t="s">
        <v>125</v>
      </c>
      <c r="B79" s="77">
        <f>SUM(B78:F78)</f>
        <v>935136</v>
      </c>
      <c r="C79" s="77"/>
      <c r="D79" s="77"/>
      <c r="E79" s="77"/>
      <c r="F79" s="77"/>
    </row>
    <row r="80" spans="1:6" x14ac:dyDescent="0.2">
      <c r="A80" s="53" t="s">
        <v>123</v>
      </c>
      <c r="B80" s="54"/>
      <c r="C80" s="54"/>
      <c r="D80" s="54"/>
      <c r="E80" s="54"/>
      <c r="F80" s="54"/>
    </row>
    <row r="81" spans="1:6" x14ac:dyDescent="0.2">
      <c r="A81" s="72" t="s">
        <v>127</v>
      </c>
      <c r="B81" s="55"/>
      <c r="C81" s="51"/>
      <c r="D81" s="56" t="s">
        <v>128</v>
      </c>
      <c r="E81" s="43"/>
      <c r="F81" s="57"/>
    </row>
    <row r="82" spans="1:6" x14ac:dyDescent="0.2">
      <c r="A82" s="58" t="s">
        <v>8</v>
      </c>
      <c r="B82" s="87">
        <f>B28</f>
        <v>235776</v>
      </c>
      <c r="C82" s="51"/>
      <c r="D82" s="59" t="str">
        <f>Enero!D82</f>
        <v>BUQUE CARGA GENERAL</v>
      </c>
      <c r="E82" s="43"/>
      <c r="F82" s="57">
        <f>Julio!F82+Agosto!F82+Septiembre!F82+Octubre!F82+Noviembre!F82+Diciembre!F82</f>
        <v>8</v>
      </c>
    </row>
    <row r="83" spans="1:6" x14ac:dyDescent="0.2">
      <c r="A83" s="58" t="s">
        <v>64</v>
      </c>
      <c r="B83" s="87">
        <f>B40</f>
        <v>56352</v>
      </c>
      <c r="C83" s="52"/>
      <c r="D83" s="59" t="str">
        <f>Enero!D83</f>
        <v>FRIGORIFICO</v>
      </c>
      <c r="E83" s="43"/>
      <c r="F83" s="57">
        <f>Julio!F83+Agosto!F83+Septiembre!F83+Octubre!F83+Noviembre!F83+Diciembre!F83</f>
        <v>0</v>
      </c>
    </row>
    <row r="84" spans="1:6" x14ac:dyDescent="0.2">
      <c r="A84" s="58" t="s">
        <v>65</v>
      </c>
      <c r="B84" s="87">
        <f>B56</f>
        <v>0</v>
      </c>
      <c r="C84" s="52"/>
      <c r="D84" s="59" t="str">
        <f>Enero!D84</f>
        <v>CISTERNA (TANQUE)</v>
      </c>
      <c r="E84" s="43"/>
      <c r="F84" s="57">
        <f>Julio!F84+Agosto!F84+Septiembre!F84+Octubre!F84+Noviembre!F84+Diciembre!F84</f>
        <v>1</v>
      </c>
    </row>
    <row r="85" spans="1:6" x14ac:dyDescent="0.2">
      <c r="A85" s="58" t="s">
        <v>66</v>
      </c>
      <c r="B85" s="87">
        <f>B64</f>
        <v>0</v>
      </c>
      <c r="C85" s="52"/>
      <c r="D85" s="59" t="str">
        <f>Enero!D85</f>
        <v>MINERALERO</v>
      </c>
      <c r="E85" s="43"/>
      <c r="F85" s="57">
        <f>Julio!F85+Agosto!F85+Septiembre!F85+Octubre!F85+Noviembre!F85+Diciembre!F85</f>
        <v>16</v>
      </c>
    </row>
    <row r="86" spans="1:6" x14ac:dyDescent="0.2">
      <c r="A86" s="58" t="s">
        <v>39</v>
      </c>
      <c r="B86" s="87">
        <f>B51</f>
        <v>1182</v>
      </c>
      <c r="C86" s="52"/>
      <c r="D86" s="59" t="str">
        <f>Enero!D86</f>
        <v>PASAJEROS</v>
      </c>
      <c r="E86" s="43"/>
      <c r="F86" s="57">
        <f>Julio!F86+Agosto!F86+Septiembre!F86+Octubre!F86+Noviembre!F86+Diciembre!F86</f>
        <v>12</v>
      </c>
    </row>
    <row r="87" spans="1:6" x14ac:dyDescent="0.2">
      <c r="A87" s="58" t="s">
        <v>68</v>
      </c>
      <c r="B87" s="87">
        <f>B76</f>
        <v>3816</v>
      </c>
      <c r="C87" s="52"/>
      <c r="D87" s="59" t="str">
        <f>Enero!D87</f>
        <v>PESQUERO CAJONERO</v>
      </c>
      <c r="E87" s="43"/>
      <c r="F87" s="57">
        <f>Julio!F87+Agosto!F87+Septiembre!F87+Octubre!F87+Noviembre!F87+Diciembre!F87</f>
        <v>479</v>
      </c>
    </row>
    <row r="88" spans="1:6" x14ac:dyDescent="0.2">
      <c r="A88" s="60" t="s">
        <v>129</v>
      </c>
      <c r="B88" s="79">
        <f>SUM(B82:B87)</f>
        <v>297126</v>
      </c>
      <c r="C88" s="52"/>
      <c r="D88" s="59" t="str">
        <f>Enero!D88</f>
        <v>PESQUERO FACTORIA</v>
      </c>
      <c r="E88" s="43"/>
      <c r="F88" s="57">
        <f>Julio!F88+Agosto!F88+Septiembre!F88+Octubre!F88+Noviembre!F88+Diciembre!F88</f>
        <v>12</v>
      </c>
    </row>
    <row r="89" spans="1:6" x14ac:dyDescent="0.2">
      <c r="A89" s="52"/>
      <c r="B89" s="52"/>
      <c r="C89" s="52"/>
      <c r="D89" s="59" t="str">
        <f>Enero!D89</f>
        <v>PESQUERO TANGONERO</v>
      </c>
      <c r="E89" s="43"/>
      <c r="F89" s="57">
        <f>Julio!F89+Agosto!F89+Septiembre!F89+Octubre!F89+Noviembre!F89+Diciembre!F89</f>
        <v>415</v>
      </c>
    </row>
    <row r="90" spans="1:6" x14ac:dyDescent="0.2">
      <c r="A90" s="73" t="s">
        <v>130</v>
      </c>
      <c r="B90" s="74"/>
      <c r="C90" s="52"/>
      <c r="D90" s="59" t="str">
        <f>Enero!D90</f>
        <v>PESQUERO POTERO</v>
      </c>
      <c r="E90" s="43"/>
      <c r="F90" s="57">
        <f>Julio!F90+Agosto!F90+Septiembre!F90+Octubre!F90+Noviembre!F90+Diciembre!F90</f>
        <v>0</v>
      </c>
    </row>
    <row r="91" spans="1:6" x14ac:dyDescent="0.2">
      <c r="A91" s="61" t="str">
        <f>Enero!A91</f>
        <v>ALUMINA</v>
      </c>
      <c r="B91" s="86">
        <f>C4</f>
        <v>384600</v>
      </c>
      <c r="C91" s="51"/>
      <c r="D91" s="59" t="str">
        <f>Enero!D91</f>
        <v>PORTACONTENEDORES</v>
      </c>
      <c r="E91" s="43"/>
      <c r="F91" s="57">
        <f>Julio!F91+Agosto!F91+Septiembre!F91+Octubre!F91+Noviembre!F91+Diciembre!F91</f>
        <v>16</v>
      </c>
    </row>
    <row r="92" spans="1:6" x14ac:dyDescent="0.2">
      <c r="A92" s="61" t="str">
        <f>Enero!A92</f>
        <v>BREA</v>
      </c>
      <c r="B92" s="86">
        <f>C8</f>
        <v>14357</v>
      </c>
      <c r="C92" s="51"/>
      <c r="D92" s="59" t="str">
        <f>Enero!D92</f>
        <v>CATAMARAN</v>
      </c>
      <c r="E92" s="43"/>
      <c r="F92" s="57">
        <f>Julio!F92+Agosto!F92+Septiembre!F92+Octubre!F92+Noviembre!F92+Diciembre!F92</f>
        <v>1</v>
      </c>
    </row>
    <row r="93" spans="1:6" x14ac:dyDescent="0.2">
      <c r="A93" s="61" t="str">
        <f>Enero!A93</f>
        <v>OTROS</v>
      </c>
      <c r="B93" s="86">
        <f>C78-C4-C8-C72</f>
        <v>20354</v>
      </c>
      <c r="C93" s="51"/>
      <c r="D93" s="59" t="str">
        <f>Enero!D93</f>
        <v>OTRO</v>
      </c>
      <c r="E93" s="43"/>
      <c r="F93" s="57">
        <f>Julio!F93+Agosto!F93+Septiembre!F93+Octubre!F93+Noviembre!F93+Diciembre!F93</f>
        <v>18</v>
      </c>
    </row>
    <row r="94" spans="1:6" x14ac:dyDescent="0.2">
      <c r="A94" s="61" t="str">
        <f>Enero!A94</f>
        <v>AEROGENERADORES</v>
      </c>
      <c r="B94" s="86">
        <f>C72</f>
        <v>4907</v>
      </c>
      <c r="C94" s="51"/>
      <c r="D94" s="56" t="str">
        <f>Enero!D94</f>
        <v>TOTAL BUQUES</v>
      </c>
      <c r="E94" s="75"/>
      <c r="F94" s="62">
        <f>SUM(F82:F93)</f>
        <v>978</v>
      </c>
    </row>
    <row r="95" spans="1:6" x14ac:dyDescent="0.2">
      <c r="A95" s="63" t="s">
        <v>131</v>
      </c>
      <c r="B95" s="78">
        <f>SUM(B91:B94)</f>
        <v>424218</v>
      </c>
      <c r="C95" s="51"/>
      <c r="D95" s="64"/>
      <c r="E95" s="54"/>
      <c r="F95" s="52"/>
    </row>
    <row r="96" spans="1:6" x14ac:dyDescent="0.2">
      <c r="A96" s="52"/>
      <c r="B96" s="51"/>
      <c r="C96" s="52"/>
      <c r="D96" s="65"/>
      <c r="E96" s="54"/>
      <c r="F96" s="66"/>
    </row>
    <row r="97" spans="1:6" x14ac:dyDescent="0.2">
      <c r="A97" s="52"/>
      <c r="B97" s="52"/>
      <c r="C97" s="52"/>
      <c r="D97" s="52"/>
      <c r="E97" s="52"/>
      <c r="F97" s="52"/>
    </row>
    <row r="98" spans="1:6" x14ac:dyDescent="0.2">
      <c r="A98" s="52"/>
      <c r="B98" s="67" t="s">
        <v>132</v>
      </c>
      <c r="C98" s="54"/>
      <c r="D98" s="54"/>
      <c r="E98" s="52"/>
      <c r="F98" s="52"/>
    </row>
    <row r="99" spans="1:6" x14ac:dyDescent="0.2">
      <c r="A99" s="44" t="s">
        <v>89</v>
      </c>
      <c r="B99" s="44" t="s">
        <v>90</v>
      </c>
      <c r="C99" s="44" t="s">
        <v>91</v>
      </c>
      <c r="D99" s="44" t="s">
        <v>92</v>
      </c>
      <c r="E99" s="44" t="s">
        <v>93</v>
      </c>
      <c r="F99" s="44" t="s">
        <v>94</v>
      </c>
    </row>
    <row r="100" spans="1:6" x14ac:dyDescent="0.2">
      <c r="A100" s="47" t="str">
        <f>Enero!A100</f>
        <v>REEFER  40 Pies</v>
      </c>
      <c r="B100" s="68">
        <f>Julio!B100+Agosto!B100+Septiembre!B100+Octubre!B100+Noviembre!B100+Diciembre!B100</f>
        <v>2126</v>
      </c>
      <c r="C100" s="68">
        <f>Julio!C100+Agosto!C100+Septiembre!C100+Octubre!C100+Noviembre!C100+Diciembre!C100</f>
        <v>5</v>
      </c>
      <c r="D100" s="68">
        <f>Julio!D100+Agosto!D100+Septiembre!D100+Octubre!D100+Noviembre!D100+Diciembre!D100</f>
        <v>2569</v>
      </c>
      <c r="E100" s="68">
        <f>Julio!E100+Agosto!E100+Septiembre!E100+Octubre!E100+Noviembre!E100+Diciembre!E100</f>
        <v>211</v>
      </c>
      <c r="F100" s="68">
        <f>Julio!F100+Agosto!F100+Septiembre!F100+Octubre!F100+Noviembre!F100+Diciembre!F100</f>
        <v>9822</v>
      </c>
    </row>
    <row r="101" spans="1:6" x14ac:dyDescent="0.2">
      <c r="A101" s="47" t="str">
        <f>Enero!A101</f>
        <v>REEFER HC  40 Pies</v>
      </c>
      <c r="B101" s="68">
        <f>Julio!B101+Agosto!B101+Septiembre!B101+Octubre!B101+Noviembre!B101+Diciembre!B101</f>
        <v>0</v>
      </c>
      <c r="C101" s="68">
        <f>Julio!C101+Agosto!C101+Septiembre!C101+Octubre!C101+Noviembre!C101+Diciembre!C101</f>
        <v>0</v>
      </c>
      <c r="D101" s="68">
        <f>Julio!D101+Agosto!D101+Septiembre!D101+Octubre!D101+Noviembre!D101+Diciembre!D101</f>
        <v>0</v>
      </c>
      <c r="E101" s="68">
        <f>Julio!E101+Agosto!E101+Septiembre!E101+Octubre!E101+Noviembre!E101+Diciembre!E101</f>
        <v>0</v>
      </c>
      <c r="F101" s="68">
        <f>Julio!F101+Agosto!F101+Septiembre!F101+Octubre!F101+Noviembre!F101+Diciembre!F101</f>
        <v>0</v>
      </c>
    </row>
    <row r="102" spans="1:6" x14ac:dyDescent="0.2">
      <c r="A102" s="47" t="str">
        <f>Enero!A102</f>
        <v>STANDARD  40 Pies</v>
      </c>
      <c r="B102" s="68">
        <f>Julio!B102+Agosto!B102+Septiembre!B102+Octubre!B102+Noviembre!B102+Diciembre!B102</f>
        <v>875</v>
      </c>
      <c r="C102" s="68">
        <f>Julio!C102+Agosto!C102+Septiembre!C102+Octubre!C102+Noviembre!C102+Diciembre!C102</f>
        <v>1235</v>
      </c>
      <c r="D102" s="68">
        <f>Julio!D102+Agosto!D102+Septiembre!D102+Octubre!D102+Noviembre!D102+Diciembre!D102</f>
        <v>547</v>
      </c>
      <c r="E102" s="68">
        <f>Julio!E102+Agosto!E102+Septiembre!E102+Octubre!E102+Noviembre!E102+Diciembre!E102</f>
        <v>585</v>
      </c>
      <c r="F102" s="68">
        <f>Julio!F102+Agosto!F102+Septiembre!F102+Octubre!F102+Noviembre!F102+Diciembre!F102</f>
        <v>3242</v>
      </c>
    </row>
    <row r="103" spans="1:6" x14ac:dyDescent="0.2">
      <c r="A103" s="47" t="str">
        <f>Enero!A103</f>
        <v>STANDARD  20 Pies</v>
      </c>
      <c r="B103" s="68">
        <f>Julio!B103+Agosto!B103+Septiembre!B103+Octubre!B103+Noviembre!B103+Diciembre!B103</f>
        <v>97</v>
      </c>
      <c r="C103" s="68">
        <f>Julio!C103+Agosto!C103+Septiembre!C103+Octubre!C103+Noviembre!C103+Diciembre!C103</f>
        <v>299</v>
      </c>
      <c r="D103" s="68">
        <f>Julio!D103+Agosto!D103+Septiembre!D103+Octubre!D103+Noviembre!D103+Diciembre!D103</f>
        <v>100</v>
      </c>
      <c r="E103" s="68">
        <f>Julio!E103+Agosto!E103+Septiembre!E103+Octubre!E103+Noviembre!E103+Diciembre!E103</f>
        <v>159</v>
      </c>
      <c r="F103" s="68">
        <f>Julio!F103+Agosto!F103+Septiembre!F103+Octubre!F103+Noviembre!F103+Diciembre!F103</f>
        <v>1310</v>
      </c>
    </row>
    <row r="104" spans="1:6" x14ac:dyDescent="0.2">
      <c r="A104" s="47" t="str">
        <f>Enero!A104</f>
        <v>STANDARD HC  40 Pies</v>
      </c>
      <c r="B104" s="68">
        <f>Julio!B104+Agosto!B104+Septiembre!B104+Octubre!B104+Noviembre!B104+Diciembre!B104</f>
        <v>0</v>
      </c>
      <c r="C104" s="68">
        <f>Julio!C104+Agosto!C104+Septiembre!C104+Octubre!C104+Noviembre!C104+Diciembre!C104</f>
        <v>0</v>
      </c>
      <c r="D104" s="68">
        <f>Julio!D104+Agosto!D104+Septiembre!D104+Octubre!D104+Noviembre!D104+Diciembre!D104</f>
        <v>0</v>
      </c>
      <c r="E104" s="68">
        <f>Julio!E104+Agosto!E104+Septiembre!E104+Octubre!E104+Noviembre!E104+Diciembre!E104</f>
        <v>0</v>
      </c>
      <c r="F104" s="68">
        <f>Julio!F104+Agosto!F104+Septiembre!F104+Octubre!F104+Noviembre!F104+Diciembre!F104</f>
        <v>0</v>
      </c>
    </row>
    <row r="105" spans="1:6" x14ac:dyDescent="0.2">
      <c r="A105" s="47" t="str">
        <f>Enero!A105</f>
        <v>OPEN TOP  40 Pies</v>
      </c>
      <c r="B105" s="68">
        <f>Julio!B105+Agosto!B105+Septiembre!B105+Octubre!B105+Noviembre!B105+Diciembre!B105</f>
        <v>0</v>
      </c>
      <c r="C105" s="68">
        <f>Julio!C105+Agosto!C105+Septiembre!C105+Octubre!C105+Noviembre!C105+Diciembre!C105</f>
        <v>1</v>
      </c>
      <c r="D105" s="68">
        <f>Julio!D105+Agosto!D105+Septiembre!D105+Octubre!D105+Noviembre!D105+Diciembre!D105</f>
        <v>0</v>
      </c>
      <c r="E105" s="68">
        <f>Julio!E105+Agosto!E105+Septiembre!E105+Octubre!E105+Noviembre!E105+Diciembre!E105</f>
        <v>90</v>
      </c>
      <c r="F105" s="68">
        <f>Julio!F105+Agosto!F105+Septiembre!F105+Octubre!F105+Noviembre!F105+Diciembre!F105</f>
        <v>182</v>
      </c>
    </row>
    <row r="106" spans="1:6" x14ac:dyDescent="0.2">
      <c r="A106" s="47" t="str">
        <f>Enero!A106</f>
        <v>FLAT RACK  40 Pies</v>
      </c>
      <c r="B106" s="68">
        <f>Julio!B106+Agosto!B106+Septiembre!B106+Octubre!B106+Noviembre!B106+Diciembre!B106</f>
        <v>0</v>
      </c>
      <c r="C106" s="68">
        <f>Julio!C106+Agosto!C106+Septiembre!C106+Octubre!C106+Noviembre!C106+Diciembre!C106</f>
        <v>0</v>
      </c>
      <c r="D106" s="68">
        <f>Julio!D106+Agosto!D106+Septiembre!D106+Octubre!D106+Noviembre!D106+Diciembre!D106</f>
        <v>0</v>
      </c>
      <c r="E106" s="68">
        <f>Julio!E106+Agosto!E106+Septiembre!E106+Octubre!E106+Noviembre!E106+Diciembre!E106</f>
        <v>0</v>
      </c>
      <c r="F106" s="68">
        <f>Julio!F106+Agosto!F106+Septiembre!F106+Octubre!F106+Noviembre!F106+Diciembre!F106</f>
        <v>0</v>
      </c>
    </row>
    <row r="107" spans="1:6" x14ac:dyDescent="0.2">
      <c r="A107" s="47" t="str">
        <f>Enero!A107</f>
        <v>OPEN SIDE  20 Pies</v>
      </c>
      <c r="B107" s="68">
        <f>Julio!B107+Agosto!B107+Septiembre!B107+Octubre!B107+Noviembre!B107+Diciembre!B107</f>
        <v>0</v>
      </c>
      <c r="C107" s="68">
        <f>Julio!C107+Agosto!C107+Septiembre!C107+Octubre!C107+Noviembre!C107+Diciembre!C107</f>
        <v>0</v>
      </c>
      <c r="D107" s="68">
        <f>Julio!D107+Agosto!D107+Septiembre!D107+Octubre!D107+Noviembre!D107+Diciembre!D107</f>
        <v>0</v>
      </c>
      <c r="E107" s="68">
        <f>Julio!E107+Agosto!E107+Septiembre!E107+Octubre!E107+Noviembre!E107+Diciembre!E107</f>
        <v>0</v>
      </c>
      <c r="F107" s="68">
        <f>Julio!F107+Agosto!F107+Septiembre!F107+Octubre!F107+Noviembre!F107+Diciembre!F107</f>
        <v>0</v>
      </c>
    </row>
    <row r="108" spans="1:6" x14ac:dyDescent="0.2">
      <c r="A108" s="47" t="str">
        <f>Enero!A108</f>
        <v>TANK  20 Pies</v>
      </c>
      <c r="B108" s="68">
        <f>Julio!B108+Agosto!B108+Septiembre!B108+Octubre!B108+Noviembre!B108+Diciembre!B108</f>
        <v>0</v>
      </c>
      <c r="C108" s="68">
        <f>Julio!C108+Agosto!C108+Septiembre!C108+Octubre!C108+Noviembre!C108+Diciembre!C108</f>
        <v>0</v>
      </c>
      <c r="D108" s="68">
        <f>Julio!D108+Agosto!D108+Septiembre!D108+Octubre!D108+Noviembre!D108+Diciembre!D108</f>
        <v>0</v>
      </c>
      <c r="E108" s="68">
        <f>Julio!E108+Agosto!E108+Septiembre!E108+Octubre!E108+Noviembre!E108+Diciembre!E108</f>
        <v>0</v>
      </c>
      <c r="F108" s="68">
        <f>Julio!F108+Agosto!F108+Septiembre!F108+Octubre!F108+Noviembre!F108+Diciembre!F108</f>
        <v>0</v>
      </c>
    </row>
    <row r="109" spans="1:6" x14ac:dyDescent="0.2">
      <c r="A109" s="69" t="str">
        <f>Enero!A109</f>
        <v>Totales</v>
      </c>
      <c r="B109" s="69">
        <f>SUM(B100:B108)</f>
        <v>3098</v>
      </c>
      <c r="C109" s="70">
        <f>SUM(C100:C108)</f>
        <v>1540</v>
      </c>
      <c r="D109" s="69">
        <f>SUM(D100:D108)</f>
        <v>3216</v>
      </c>
      <c r="E109" s="69">
        <f>SUM(E100:E108)</f>
        <v>1045</v>
      </c>
      <c r="F109" s="69">
        <f>SUM(F100:F108)</f>
        <v>14556</v>
      </c>
    </row>
    <row r="110" spans="1:6" ht="15.75" x14ac:dyDescent="0.25">
      <c r="A110" s="47" t="str">
        <f>Enero!A110</f>
        <v>Total Contenedores</v>
      </c>
      <c r="B110" s="71">
        <f>SUM(B109:E109)</f>
        <v>8899</v>
      </c>
      <c r="C110" s="42"/>
      <c r="D110" s="42"/>
      <c r="E110" s="43"/>
    </row>
  </sheetData>
  <sheetProtection sheet="1" objects="1" scenarios="1"/>
  <mergeCells count="22">
    <mergeCell ref="D95:E95"/>
    <mergeCell ref="D96:E96"/>
    <mergeCell ref="B98:D98"/>
    <mergeCell ref="B110:E110"/>
    <mergeCell ref="A90:B90"/>
    <mergeCell ref="D90:E90"/>
    <mergeCell ref="D91:E91"/>
    <mergeCell ref="D92:E92"/>
    <mergeCell ref="D93:E93"/>
    <mergeCell ref="D94:E94"/>
    <mergeCell ref="D84:E84"/>
    <mergeCell ref="D85:E85"/>
    <mergeCell ref="D86:E86"/>
    <mergeCell ref="D87:E87"/>
    <mergeCell ref="D88:E88"/>
    <mergeCell ref="D89:E89"/>
    <mergeCell ref="A1:F1"/>
    <mergeCell ref="B79:F79"/>
    <mergeCell ref="A80:F80"/>
    <mergeCell ref="D81:E81"/>
    <mergeCell ref="D82:E82"/>
    <mergeCell ref="D83:E8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selection activeCell="N99" sqref="N99"/>
    </sheetView>
  </sheetViews>
  <sheetFormatPr baseColWidth="10" defaultRowHeight="12.75" x14ac:dyDescent="0.2"/>
  <cols>
    <col min="1" max="1" width="45.5703125" bestFit="1" customWidth="1"/>
    <col min="2" max="2" width="15.5703125" bestFit="1" customWidth="1"/>
    <col min="3" max="3" width="15.28515625" bestFit="1" customWidth="1"/>
    <col min="4" max="4" width="20.5703125" bestFit="1" customWidth="1"/>
    <col min="5" max="5" width="19.85546875" bestFit="1" customWidth="1"/>
    <col min="6" max="6" width="18.85546875" bestFit="1" customWidth="1"/>
  </cols>
  <sheetData>
    <row r="1" spans="1:6" ht="18" x14ac:dyDescent="0.25">
      <c r="A1" s="41" t="s">
        <v>143</v>
      </c>
      <c r="B1" s="42"/>
      <c r="C1" s="42"/>
      <c r="D1" s="42"/>
      <c r="E1" s="42"/>
      <c r="F1" s="43"/>
    </row>
    <row r="2" spans="1:6" x14ac:dyDescent="0.2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</row>
    <row r="3" spans="1:6" x14ac:dyDescent="0.2">
      <c r="A3" s="45" t="str">
        <f>Enero!A3</f>
        <v>ALAMBRON ALUMINIO</v>
      </c>
      <c r="B3" s="45">
        <f>'1er Semestre'!B3+'2do Semestre '!B3</f>
        <v>53832</v>
      </c>
      <c r="C3" s="45">
        <f>'1er Semestre'!C3+'2do Semestre '!C3</f>
        <v>50</v>
      </c>
      <c r="D3" s="45">
        <f>'1er Semestre'!D3+'2do Semestre '!D3</f>
        <v>0</v>
      </c>
      <c r="E3" s="45">
        <f>'1er Semestre'!E3+'2do Semestre '!E3</f>
        <v>0</v>
      </c>
      <c r="F3" s="45">
        <f>'1er Semestre'!F3+'2do Semestre '!F3</f>
        <v>0</v>
      </c>
    </row>
    <row r="4" spans="1:6" x14ac:dyDescent="0.2">
      <c r="A4" s="45" t="str">
        <f>Enero!A4</f>
        <v>ALUMINA</v>
      </c>
      <c r="B4" s="45">
        <f>'1er Semestre'!B4+'2do Semestre '!B4</f>
        <v>0</v>
      </c>
      <c r="C4" s="45">
        <f>'1er Semestre'!C4+'2do Semestre '!C4</f>
        <v>802855</v>
      </c>
      <c r="D4" s="45">
        <f>'1er Semestre'!D4+'2do Semestre '!D4</f>
        <v>56700</v>
      </c>
      <c r="E4" s="45">
        <f>'1er Semestre'!E4+'2do Semestre '!E4</f>
        <v>0</v>
      </c>
      <c r="F4" s="45">
        <f>'1er Semestre'!F4+'2do Semestre '!F4</f>
        <v>0</v>
      </c>
    </row>
    <row r="5" spans="1:6" x14ac:dyDescent="0.2">
      <c r="A5" s="45" t="str">
        <f>Enero!A5</f>
        <v>ALUMINIO</v>
      </c>
      <c r="B5" s="45">
        <f>'1er Semestre'!B5+'2do Semestre '!B5</f>
        <v>329850</v>
      </c>
      <c r="C5" s="45">
        <f>'1er Semestre'!C5+'2do Semestre '!C5</f>
        <v>50</v>
      </c>
      <c r="D5" s="45">
        <f>'1er Semestre'!D5+'2do Semestre '!D5</f>
        <v>0</v>
      </c>
      <c r="E5" s="45">
        <f>'1er Semestre'!E5+'2do Semestre '!E5</f>
        <v>0</v>
      </c>
      <c r="F5" s="45">
        <f>'1er Semestre'!F5+'2do Semestre '!F5</f>
        <v>0</v>
      </c>
    </row>
    <row r="6" spans="1:6" x14ac:dyDescent="0.2">
      <c r="A6" s="45" t="str">
        <f>Enero!A6</f>
        <v>BAÑO  CRIOLITICO</v>
      </c>
      <c r="B6" s="45">
        <f>'1er Semestre'!B6+'2do Semestre '!B6</f>
        <v>0</v>
      </c>
      <c r="C6" s="45">
        <f>'1er Semestre'!C6+'2do Semestre '!C6</f>
        <v>0</v>
      </c>
      <c r="D6" s="45">
        <f>'1er Semestre'!D6+'2do Semestre '!D6</f>
        <v>0</v>
      </c>
      <c r="E6" s="45">
        <f>'1er Semestre'!E6+'2do Semestre '!E6</f>
        <v>0</v>
      </c>
      <c r="F6" s="45">
        <f>'1er Semestre'!F6+'2do Semestre '!F6</f>
        <v>0</v>
      </c>
    </row>
    <row r="7" spans="1:6" x14ac:dyDescent="0.2">
      <c r="A7" s="45" t="str">
        <f>Enero!A7</f>
        <v>BLOQUES CATODICOS</v>
      </c>
      <c r="B7" s="45">
        <f>'1er Semestre'!B7+'2do Semestre '!B7</f>
        <v>0</v>
      </c>
      <c r="C7" s="45">
        <f>'1er Semestre'!C7+'2do Semestre '!C7</f>
        <v>572</v>
      </c>
      <c r="D7" s="45">
        <f>'1er Semestre'!D7+'2do Semestre '!D7</f>
        <v>0</v>
      </c>
      <c r="E7" s="45">
        <f>'1er Semestre'!E7+'2do Semestre '!E7</f>
        <v>0</v>
      </c>
      <c r="F7" s="45">
        <f>'1er Semestre'!F7+'2do Semestre '!F7</f>
        <v>0</v>
      </c>
    </row>
    <row r="8" spans="1:6" x14ac:dyDescent="0.2">
      <c r="A8" s="45" t="str">
        <f>Enero!A8</f>
        <v>BREA</v>
      </c>
      <c r="B8" s="45">
        <f>'1er Semestre'!B8+'2do Semestre '!B8</f>
        <v>0</v>
      </c>
      <c r="C8" s="45">
        <f>'1er Semestre'!C8+'2do Semestre '!C8</f>
        <v>26365</v>
      </c>
      <c r="D8" s="45">
        <f>'1er Semestre'!D8+'2do Semestre '!D8</f>
        <v>0</v>
      </c>
      <c r="E8" s="45">
        <f>'1er Semestre'!E8+'2do Semestre '!E8</f>
        <v>0</v>
      </c>
      <c r="F8" s="45">
        <f>'1er Semestre'!F8+'2do Semestre '!F8</f>
        <v>0</v>
      </c>
    </row>
    <row r="9" spans="1:6" x14ac:dyDescent="0.2">
      <c r="A9" s="45" t="str">
        <f>Enero!A9</f>
        <v>BRIQUETA</v>
      </c>
      <c r="B9" s="45">
        <f>'1er Semestre'!B9+'2do Semestre '!B9</f>
        <v>0</v>
      </c>
      <c r="C9" s="45">
        <f>'1er Semestre'!C9+'2do Semestre '!C9</f>
        <v>161</v>
      </c>
      <c r="D9" s="45">
        <f>'1er Semestre'!D9+'2do Semestre '!D9</f>
        <v>0</v>
      </c>
      <c r="E9" s="45">
        <f>'1er Semestre'!E9+'2do Semestre '!E9</f>
        <v>0</v>
      </c>
      <c r="F9" s="45">
        <f>'1er Semestre'!F9+'2do Semestre '!F9</f>
        <v>0</v>
      </c>
    </row>
    <row r="10" spans="1:6" x14ac:dyDescent="0.2">
      <c r="A10" s="45" t="str">
        <f>Enero!A10</f>
        <v>CATODOS A GRANEL</v>
      </c>
      <c r="B10" s="45">
        <f>'1er Semestre'!B10+'2do Semestre '!B10</f>
        <v>0</v>
      </c>
      <c r="C10" s="45">
        <f>'1er Semestre'!C10+'2do Semestre '!C10</f>
        <v>0</v>
      </c>
      <c r="D10" s="45">
        <f>'1er Semestre'!D10+'2do Semestre '!D10</f>
        <v>0</v>
      </c>
      <c r="E10" s="45">
        <f>'1er Semestre'!E10+'2do Semestre '!E10</f>
        <v>0</v>
      </c>
      <c r="F10" s="45">
        <f>'1er Semestre'!F10+'2do Semestre '!F10</f>
        <v>0</v>
      </c>
    </row>
    <row r="11" spans="1:6" x14ac:dyDescent="0.2">
      <c r="A11" s="45" t="str">
        <f>Enero!A11</f>
        <v>CEMENTO</v>
      </c>
      <c r="B11" s="45">
        <f>'1er Semestre'!B11+'2do Semestre '!B11</f>
        <v>0</v>
      </c>
      <c r="C11" s="45">
        <f>'1er Semestre'!C11+'2do Semestre '!C11</f>
        <v>505</v>
      </c>
      <c r="D11" s="45">
        <f>'1er Semestre'!D11+'2do Semestre '!D11</f>
        <v>0</v>
      </c>
      <c r="E11" s="45">
        <f>'1er Semestre'!E11+'2do Semestre '!E11</f>
        <v>0</v>
      </c>
      <c r="F11" s="45">
        <f>'1er Semestre'!F11+'2do Semestre '!F11</f>
        <v>0</v>
      </c>
    </row>
    <row r="12" spans="1:6" x14ac:dyDescent="0.2">
      <c r="A12" s="45" t="str">
        <f>Enero!A12</f>
        <v>COKE</v>
      </c>
      <c r="B12" s="45">
        <f>'1er Semestre'!B12+'2do Semestre '!B12</f>
        <v>0</v>
      </c>
      <c r="C12" s="45">
        <f>'1er Semestre'!C12+'2do Semestre '!C12</f>
        <v>0</v>
      </c>
      <c r="D12" s="45">
        <f>'1er Semestre'!D12+'2do Semestre '!D12</f>
        <v>167212</v>
      </c>
      <c r="E12" s="45">
        <f>'1er Semestre'!E12+'2do Semestre '!E12</f>
        <v>0</v>
      </c>
      <c r="F12" s="45">
        <f>'1er Semestre'!F12+'2do Semestre '!F12</f>
        <v>0</v>
      </c>
    </row>
    <row r="13" spans="1:6" x14ac:dyDescent="0.2">
      <c r="A13" s="45" t="str">
        <f>Enero!A13</f>
        <v>FLUORURO DE ALUMINIO</v>
      </c>
      <c r="B13" s="45">
        <f>'1er Semestre'!B13+'2do Semestre '!B13</f>
        <v>0</v>
      </c>
      <c r="C13" s="45">
        <f>'1er Semestre'!C13+'2do Semestre '!C13</f>
        <v>7422</v>
      </c>
      <c r="D13" s="45">
        <f>'1er Semestre'!D13+'2do Semestre '!D13</f>
        <v>0</v>
      </c>
      <c r="E13" s="45">
        <f>'1er Semestre'!E13+'2do Semestre '!E13</f>
        <v>0</v>
      </c>
      <c r="F13" s="45">
        <f>'1er Semestre'!F13+'2do Semestre '!F13</f>
        <v>0</v>
      </c>
    </row>
    <row r="14" spans="1:6" x14ac:dyDescent="0.2">
      <c r="A14" s="45" t="str">
        <f>Enero!A14</f>
        <v>INSUMOS</v>
      </c>
      <c r="B14" s="45">
        <f>'1er Semestre'!B14+'2do Semestre '!B14</f>
        <v>0</v>
      </c>
      <c r="C14" s="45">
        <f>'1er Semestre'!C14+'2do Semestre '!C14</f>
        <v>4609</v>
      </c>
      <c r="D14" s="45">
        <f>'1er Semestre'!D14+'2do Semestre '!D14</f>
        <v>0</v>
      </c>
      <c r="E14" s="45">
        <f>'1er Semestre'!E14+'2do Semestre '!E14</f>
        <v>0</v>
      </c>
      <c r="F14" s="45">
        <f>'1er Semestre'!F14+'2do Semestre '!F14</f>
        <v>0</v>
      </c>
    </row>
    <row r="15" spans="1:6" x14ac:dyDescent="0.2">
      <c r="A15" s="45" t="str">
        <f>Enero!A15</f>
        <v>LADRILLOS AISLANTES</v>
      </c>
      <c r="B15" s="45">
        <f>'1er Semestre'!B15+'2do Semestre '!B15</f>
        <v>0</v>
      </c>
      <c r="C15" s="45">
        <f>'1er Semestre'!C15+'2do Semestre '!C15</f>
        <v>2299</v>
      </c>
      <c r="D15" s="45">
        <f>'1er Semestre'!D15+'2do Semestre '!D15</f>
        <v>0</v>
      </c>
      <c r="E15" s="45">
        <f>'1er Semestre'!E15+'2do Semestre '!E15</f>
        <v>0</v>
      </c>
      <c r="F15" s="45">
        <f>'1er Semestre'!F15+'2do Semestre '!F15</f>
        <v>0</v>
      </c>
    </row>
    <row r="16" spans="1:6" x14ac:dyDescent="0.2">
      <c r="A16" s="45" t="str">
        <f>Enero!A16</f>
        <v>LOSAS LATERALES</v>
      </c>
      <c r="B16" s="45">
        <f>'1er Semestre'!B16+'2do Semestre '!B16</f>
        <v>0</v>
      </c>
      <c r="C16" s="45">
        <f>'1er Semestre'!C16+'2do Semestre '!C16</f>
        <v>0</v>
      </c>
      <c r="D16" s="45">
        <f>'1er Semestre'!D16+'2do Semestre '!D16</f>
        <v>0</v>
      </c>
      <c r="E16" s="45">
        <f>'1er Semestre'!E16+'2do Semestre '!E16</f>
        <v>0</v>
      </c>
      <c r="F16" s="45">
        <f>'1er Semestre'!F16+'2do Semestre '!F16</f>
        <v>0</v>
      </c>
    </row>
    <row r="17" spans="1:6" x14ac:dyDescent="0.2">
      <c r="A17" s="45" t="str">
        <f>Enero!A17</f>
        <v>MAGNESIO</v>
      </c>
      <c r="B17" s="45">
        <f>'1er Semestre'!B17+'2do Semestre '!B17</f>
        <v>0</v>
      </c>
      <c r="C17" s="45">
        <f>'1er Semestre'!C17+'2do Semestre '!C17</f>
        <v>263</v>
      </c>
      <c r="D17" s="45">
        <f>'1er Semestre'!D17+'2do Semestre '!D17</f>
        <v>0</v>
      </c>
      <c r="E17" s="45">
        <f>'1er Semestre'!E17+'2do Semestre '!E17</f>
        <v>0</v>
      </c>
      <c r="F17" s="45">
        <f>'1er Semestre'!F17+'2do Semestre '!F17</f>
        <v>0</v>
      </c>
    </row>
    <row r="18" spans="1:6" x14ac:dyDescent="0.2">
      <c r="A18" s="45" t="str">
        <f>Enero!A18</f>
        <v>MAQUINAS Y APARATOS</v>
      </c>
      <c r="B18" s="45">
        <f>'1er Semestre'!B18+'2do Semestre '!B18</f>
        <v>0</v>
      </c>
      <c r="C18" s="45">
        <f>'1er Semestre'!C18+'2do Semestre '!C18</f>
        <v>126</v>
      </c>
      <c r="D18" s="45">
        <f>'1er Semestre'!D18+'2do Semestre '!D18</f>
        <v>0</v>
      </c>
      <c r="E18" s="45">
        <f>'1er Semestre'!E18+'2do Semestre '!E18</f>
        <v>0</v>
      </c>
      <c r="F18" s="45">
        <f>'1er Semestre'!F18+'2do Semestre '!F18</f>
        <v>0</v>
      </c>
    </row>
    <row r="19" spans="1:6" x14ac:dyDescent="0.2">
      <c r="A19" s="45" t="str">
        <f>Enero!A19</f>
        <v>MATERIAL EMPAQUE</v>
      </c>
      <c r="B19" s="45">
        <f>'1er Semestre'!B19+'2do Semestre '!B19</f>
        <v>0</v>
      </c>
      <c r="C19" s="45">
        <f>'1er Semestre'!C19+'2do Semestre '!C19</f>
        <v>4386</v>
      </c>
      <c r="D19" s="45">
        <f>'1er Semestre'!D19+'2do Semestre '!D19</f>
        <v>0</v>
      </c>
      <c r="E19" s="45">
        <f>'1er Semestre'!E19+'2do Semestre '!E19</f>
        <v>0</v>
      </c>
      <c r="F19" s="45">
        <f>'1er Semestre'!F19+'2do Semestre '!F19</f>
        <v>0</v>
      </c>
    </row>
    <row r="20" spans="1:6" x14ac:dyDescent="0.2">
      <c r="A20" s="45" t="str">
        <f>Enero!A20</f>
        <v>MATERIAL REFRACTARIO</v>
      </c>
      <c r="B20" s="45">
        <f>'1er Semestre'!B20+'2do Semestre '!B20</f>
        <v>0</v>
      </c>
      <c r="C20" s="45">
        <f>'1er Semestre'!C20+'2do Semestre '!C20</f>
        <v>596</v>
      </c>
      <c r="D20" s="45">
        <f>'1er Semestre'!D20+'2do Semestre '!D20</f>
        <v>0</v>
      </c>
      <c r="E20" s="45">
        <f>'1er Semestre'!E20+'2do Semestre '!E20</f>
        <v>0</v>
      </c>
      <c r="F20" s="45">
        <f>'1er Semestre'!F20+'2do Semestre '!F20</f>
        <v>0</v>
      </c>
    </row>
    <row r="21" spans="1:6" x14ac:dyDescent="0.2">
      <c r="A21" s="45" t="str">
        <f>Enero!A21</f>
        <v>PRODUCTOS QUIMICOS</v>
      </c>
      <c r="B21" s="45">
        <f>'1er Semestre'!B21+'2do Semestre '!B21</f>
        <v>0</v>
      </c>
      <c r="C21" s="45">
        <f>'1er Semestre'!C21+'2do Semestre '!C21</f>
        <v>0</v>
      </c>
      <c r="D21" s="45">
        <f>'1er Semestre'!D21+'2do Semestre '!D21</f>
        <v>0</v>
      </c>
      <c r="E21" s="45">
        <f>'1er Semestre'!E21+'2do Semestre '!E21</f>
        <v>0</v>
      </c>
      <c r="F21" s="45">
        <f>'1er Semestre'!F21+'2do Semestre '!F21</f>
        <v>0</v>
      </c>
    </row>
    <row r="22" spans="1:6" x14ac:dyDescent="0.2">
      <c r="A22" s="45" t="str">
        <f>Enero!A22</f>
        <v>REPUESTOS</v>
      </c>
      <c r="B22" s="45">
        <f>'1er Semestre'!B22+'2do Semestre '!B22</f>
        <v>0</v>
      </c>
      <c r="C22" s="45">
        <f>'1er Semestre'!C22+'2do Semestre '!C22</f>
        <v>2</v>
      </c>
      <c r="D22" s="45">
        <f>'1er Semestre'!D22+'2do Semestre '!D22</f>
        <v>0</v>
      </c>
      <c r="E22" s="45">
        <f>'1er Semestre'!E22+'2do Semestre '!E22</f>
        <v>0</v>
      </c>
      <c r="F22" s="45">
        <f>'1er Semestre'!F22+'2do Semestre '!F22</f>
        <v>0</v>
      </c>
    </row>
    <row r="23" spans="1:6" x14ac:dyDescent="0.2">
      <c r="A23" s="45" t="str">
        <f>Enero!A23</f>
        <v>SILICIO METALICO</v>
      </c>
      <c r="B23" s="45">
        <f>'1er Semestre'!B23+'2do Semestre '!B23</f>
        <v>0</v>
      </c>
      <c r="C23" s="45">
        <f>'1er Semestre'!C23+'2do Semestre '!C23</f>
        <v>840</v>
      </c>
      <c r="D23" s="45">
        <f>'1er Semestre'!D23+'2do Semestre '!D23</f>
        <v>0</v>
      </c>
      <c r="E23" s="45">
        <f>'1er Semestre'!E23+'2do Semestre '!E23</f>
        <v>0</v>
      </c>
      <c r="F23" s="45">
        <f>'1er Semestre'!F23+'2do Semestre '!F23</f>
        <v>0</v>
      </c>
    </row>
    <row r="24" spans="1:6" x14ac:dyDescent="0.2">
      <c r="A24" s="45" t="str">
        <f>Enero!A24</f>
        <v>SUPER RAMP CP 45</v>
      </c>
      <c r="B24" s="45">
        <f>'1er Semestre'!B24+'2do Semestre '!B24</f>
        <v>0</v>
      </c>
      <c r="C24" s="45">
        <f>'1er Semestre'!C24+'2do Semestre '!C24</f>
        <v>0</v>
      </c>
      <c r="D24" s="45">
        <f>'1er Semestre'!D24+'2do Semestre '!D24</f>
        <v>0</v>
      </c>
      <c r="E24" s="45">
        <f>'1er Semestre'!E24+'2do Semestre '!E24</f>
        <v>0</v>
      </c>
      <c r="F24" s="45">
        <f>'1er Semestre'!F24+'2do Semestre '!F24</f>
        <v>0</v>
      </c>
    </row>
    <row r="25" spans="1:6" x14ac:dyDescent="0.2">
      <c r="A25" s="45" t="str">
        <f>Enero!A25</f>
        <v>TEJOS DE ALUMINIO</v>
      </c>
      <c r="B25" s="45">
        <f>'1er Semestre'!B25+'2do Semestre '!B25</f>
        <v>0</v>
      </c>
      <c r="C25" s="45">
        <f>'1er Semestre'!C25+'2do Semestre '!C25</f>
        <v>0</v>
      </c>
      <c r="D25" s="45">
        <f>'1er Semestre'!D25+'2do Semestre '!D25</f>
        <v>0</v>
      </c>
      <c r="E25" s="45">
        <f>'1er Semestre'!E25+'2do Semestre '!E25</f>
        <v>0</v>
      </c>
      <c r="F25" s="45">
        <f>'1er Semestre'!F25+'2do Semestre '!F25</f>
        <v>0</v>
      </c>
    </row>
    <row r="26" spans="1:6" x14ac:dyDescent="0.2">
      <c r="A26" s="45"/>
      <c r="B26" s="45">
        <f>'1er Semestre'!B26+'2do Semestre '!B26</f>
        <v>0</v>
      </c>
      <c r="C26" s="45">
        <f>'1er Semestre'!C26+'2do Semestre '!C26</f>
        <v>0</v>
      </c>
      <c r="D26" s="45">
        <f>'1er Semestre'!D26+'2do Semestre '!D26</f>
        <v>0</v>
      </c>
      <c r="E26" s="45">
        <f>'1er Semestre'!E26+'2do Semestre '!E26</f>
        <v>0</v>
      </c>
      <c r="F26" s="45">
        <f>'1er Semestre'!F26+'2do Semestre '!F26</f>
        <v>0</v>
      </c>
    </row>
    <row r="27" spans="1:6" x14ac:dyDescent="0.2">
      <c r="A27" s="45" t="str">
        <f>Enero!A27</f>
        <v xml:space="preserve">OTROS </v>
      </c>
      <c r="B27" s="45">
        <f>'1er Semestre'!B27+'2do Semestre '!B27</f>
        <v>1350</v>
      </c>
      <c r="C27" s="45">
        <f>'1er Semestre'!C27+'2do Semestre '!C27</f>
        <v>10084</v>
      </c>
      <c r="D27" s="45">
        <f>'1er Semestre'!D27+'2do Semestre '!D27</f>
        <v>0</v>
      </c>
      <c r="E27" s="45">
        <f>'1er Semestre'!E27+'2do Semestre '!E27</f>
        <v>0</v>
      </c>
      <c r="F27" s="45">
        <f>'1er Semestre'!F27+'2do Semestre '!F27</f>
        <v>0</v>
      </c>
    </row>
    <row r="28" spans="1:6" x14ac:dyDescent="0.2">
      <c r="A28" s="47" t="str">
        <f>Enero!A28</f>
        <v>TOTAL SECTOR ALUMINIO</v>
      </c>
      <c r="B28" s="47">
        <f>'1er Semestre'!B28+'2do Semestre '!B28</f>
        <v>385032</v>
      </c>
      <c r="C28" s="47">
        <f>'1er Semestre'!C28+'2do Semestre '!C28</f>
        <v>861185</v>
      </c>
      <c r="D28" s="47">
        <f>'1er Semestre'!D28+'2do Semestre '!D28</f>
        <v>223912</v>
      </c>
      <c r="E28" s="47">
        <f>'1er Semestre'!E28+'2do Semestre '!E28</f>
        <v>0</v>
      </c>
      <c r="F28" s="47">
        <f>'1er Semestre'!F28+'2do Semestre '!F28</f>
        <v>0</v>
      </c>
    </row>
    <row r="29" spans="1:6" ht="6.75" customHeight="1" x14ac:dyDescent="0.2">
      <c r="A29" s="46"/>
      <c r="B29" s="46"/>
      <c r="C29" s="46"/>
      <c r="D29" s="46"/>
      <c r="E29" s="46"/>
      <c r="F29" s="46"/>
    </row>
    <row r="30" spans="1:6" x14ac:dyDescent="0.2">
      <c r="A30" s="45" t="str">
        <f>Enero!A30</f>
        <v>CALAMAR</v>
      </c>
      <c r="B30" s="45">
        <f>'1er Semestre'!B30+'2do Semestre '!B30</f>
        <v>37068</v>
      </c>
      <c r="C30" s="45">
        <f>'1er Semestre'!C30+'2do Semestre '!C30</f>
        <v>53</v>
      </c>
      <c r="D30" s="45">
        <f>'1er Semestre'!D30+'2do Semestre '!D30</f>
        <v>49324</v>
      </c>
      <c r="E30" s="45">
        <f>'1er Semestre'!E30+'2do Semestre '!E30</f>
        <v>0</v>
      </c>
      <c r="F30" s="45">
        <f>'1er Semestre'!F30+'2do Semestre '!F30</f>
        <v>0</v>
      </c>
    </row>
    <row r="31" spans="1:6" x14ac:dyDescent="0.2">
      <c r="A31" s="45" t="str">
        <f>Enero!A31</f>
        <v>CENTOLLAS</v>
      </c>
      <c r="B31" s="45">
        <f>'1er Semestre'!B31+'2do Semestre '!B31</f>
        <v>226</v>
      </c>
      <c r="C31" s="45">
        <f>'1er Semestre'!C31+'2do Semestre '!C31</f>
        <v>0</v>
      </c>
      <c r="D31" s="45">
        <f>'1er Semestre'!D31+'2do Semestre '!D31</f>
        <v>0</v>
      </c>
      <c r="E31" s="45">
        <f>'1er Semestre'!E31+'2do Semestre '!E31</f>
        <v>0</v>
      </c>
      <c r="F31" s="45">
        <f>'1er Semestre'!F31+'2do Semestre '!F31</f>
        <v>0</v>
      </c>
    </row>
    <row r="32" spans="1:6" x14ac:dyDescent="0.2">
      <c r="A32" s="45" t="str">
        <f>Enero!A32</f>
        <v>COMBUSTIBLES LIQUIDOS Y DERIVADOS</v>
      </c>
      <c r="B32" s="45">
        <f>'1er Semestre'!B32+'2do Semestre '!B32</f>
        <v>0</v>
      </c>
      <c r="C32" s="45">
        <f>'1er Semestre'!C32+'2do Semestre '!C32</f>
        <v>0</v>
      </c>
      <c r="D32" s="45">
        <f>'1er Semestre'!D32+'2do Semestre '!D32</f>
        <v>103</v>
      </c>
      <c r="E32" s="45">
        <f>'1er Semestre'!E32+'2do Semestre '!E32</f>
        <v>0</v>
      </c>
      <c r="F32" s="45">
        <f>'1er Semestre'!F32+'2do Semestre '!F32</f>
        <v>30558</v>
      </c>
    </row>
    <row r="33" spans="1:6" x14ac:dyDescent="0.2">
      <c r="A33" s="45" t="str">
        <f>Enero!A33</f>
        <v>INSUMOS</v>
      </c>
      <c r="B33" s="45">
        <f>'1er Semestre'!B33+'2do Semestre '!B33</f>
        <v>0</v>
      </c>
      <c r="C33" s="45">
        <f>'1er Semestre'!C33+'2do Semestre '!C33</f>
        <v>160</v>
      </c>
      <c r="D33" s="45">
        <f>'1er Semestre'!D33+'2do Semestre '!D33</f>
        <v>0</v>
      </c>
      <c r="E33" s="45">
        <f>'1er Semestre'!E33+'2do Semestre '!E33</f>
        <v>0</v>
      </c>
      <c r="F33" s="45">
        <f>'1er Semestre'!F33+'2do Semestre '!F33</f>
        <v>0</v>
      </c>
    </row>
    <row r="34" spans="1:6" x14ac:dyDescent="0.2">
      <c r="A34" s="45" t="str">
        <f>Enero!A34</f>
        <v>LANGOSTINOS</v>
      </c>
      <c r="B34" s="45">
        <f>'1er Semestre'!B34+'2do Semestre '!B34</f>
        <v>83203</v>
      </c>
      <c r="C34" s="45">
        <f>'1er Semestre'!C34+'2do Semestre '!C34</f>
        <v>410</v>
      </c>
      <c r="D34" s="45">
        <f>'1er Semestre'!D34+'2do Semestre '!D34</f>
        <v>53134</v>
      </c>
      <c r="E34" s="45">
        <f>'1er Semestre'!E34+'2do Semestre '!E34</f>
        <v>0</v>
      </c>
      <c r="F34" s="45">
        <f>'1er Semestre'!F34+'2do Semestre '!F34</f>
        <v>0</v>
      </c>
    </row>
    <row r="35" spans="1:6" x14ac:dyDescent="0.2">
      <c r="A35" s="45" t="str">
        <f>Enero!A35</f>
        <v>MATERIAL EMPAQUE</v>
      </c>
      <c r="B35" s="45">
        <f>'1er Semestre'!B35+'2do Semestre '!B35</f>
        <v>12</v>
      </c>
      <c r="C35" s="45">
        <f>'1er Semestre'!C35+'2do Semestre '!C35</f>
        <v>1024</v>
      </c>
      <c r="D35" s="45">
        <f>'1er Semestre'!D35+'2do Semestre '!D35</f>
        <v>0</v>
      </c>
      <c r="E35" s="45">
        <f>'1er Semestre'!E35+'2do Semestre '!E35</f>
        <v>0</v>
      </c>
      <c r="F35" s="45">
        <f>'1er Semestre'!F35+'2do Semestre '!F35</f>
        <v>0</v>
      </c>
    </row>
    <row r="36" spans="1:6" x14ac:dyDescent="0.2">
      <c r="A36" s="45" t="str">
        <f>Enero!A36</f>
        <v>MERLUZA</v>
      </c>
      <c r="B36" s="45">
        <f>'1er Semestre'!B36+'2do Semestre '!B36</f>
        <v>13190</v>
      </c>
      <c r="C36" s="45">
        <f>'1er Semestre'!C36+'2do Semestre '!C36</f>
        <v>0</v>
      </c>
      <c r="D36" s="45">
        <f>'1er Semestre'!D36+'2do Semestre '!D36</f>
        <v>5254</v>
      </c>
      <c r="E36" s="45">
        <f>'1er Semestre'!E36+'2do Semestre '!E36</f>
        <v>0</v>
      </c>
      <c r="F36" s="45">
        <f>'1er Semestre'!F36+'2do Semestre '!F36</f>
        <v>0</v>
      </c>
    </row>
    <row r="37" spans="1:6" x14ac:dyDescent="0.2">
      <c r="A37" s="45" t="str">
        <f>Enero!A37</f>
        <v>PESCADOS MARISCOS MOLUSCOS</v>
      </c>
      <c r="B37" s="45">
        <f>'1er Semestre'!B37+'2do Semestre '!B37</f>
        <v>301</v>
      </c>
      <c r="C37" s="45">
        <f>'1er Semestre'!C37+'2do Semestre '!C37</f>
        <v>81</v>
      </c>
      <c r="D37" s="45">
        <f>'1er Semestre'!D37+'2do Semestre '!D37</f>
        <v>7663</v>
      </c>
      <c r="E37" s="45">
        <f>'1er Semestre'!E37+'2do Semestre '!E37</f>
        <v>0</v>
      </c>
      <c r="F37" s="45">
        <f>'1er Semestre'!F37+'2do Semestre '!F37</f>
        <v>0</v>
      </c>
    </row>
    <row r="38" spans="1:6" x14ac:dyDescent="0.2">
      <c r="A38" s="45"/>
      <c r="B38" s="45">
        <f>'1er Semestre'!B38+'2do Semestre '!B38</f>
        <v>0</v>
      </c>
      <c r="C38" s="45">
        <f>'1er Semestre'!C38+'2do Semestre '!C38</f>
        <v>0</v>
      </c>
      <c r="D38" s="45">
        <f>'1er Semestre'!D38+'2do Semestre '!D38</f>
        <v>0</v>
      </c>
      <c r="E38" s="45">
        <f>'1er Semestre'!E38+'2do Semestre '!E38</f>
        <v>0</v>
      </c>
      <c r="F38" s="45">
        <f>'1er Semestre'!F38+'2do Semestre '!F38</f>
        <v>0</v>
      </c>
    </row>
    <row r="39" spans="1:6" x14ac:dyDescent="0.2">
      <c r="A39" s="45" t="str">
        <f>Enero!A39</f>
        <v xml:space="preserve">OTROS </v>
      </c>
      <c r="B39" s="45">
        <f>'1er Semestre'!B39+'2do Semestre '!B39</f>
        <v>0</v>
      </c>
      <c r="C39" s="45">
        <f>'1er Semestre'!C39+'2do Semestre '!C39</f>
        <v>217</v>
      </c>
      <c r="D39" s="45">
        <f>'1er Semestre'!D39+'2do Semestre '!D39</f>
        <v>0</v>
      </c>
      <c r="E39" s="45">
        <f>'1er Semestre'!E39+'2do Semestre '!E39</f>
        <v>0</v>
      </c>
      <c r="F39" s="45">
        <f>'1er Semestre'!F39+'2do Semestre '!F39</f>
        <v>0</v>
      </c>
    </row>
    <row r="40" spans="1:6" x14ac:dyDescent="0.2">
      <c r="A40" s="47" t="str">
        <f>Enero!A40</f>
        <v>TOTAL SECTOR PESCA</v>
      </c>
      <c r="B40" s="47">
        <f>'1er Semestre'!B40+'2do Semestre '!B40</f>
        <v>134000</v>
      </c>
      <c r="C40" s="47">
        <f>'1er Semestre'!C40+'2do Semestre '!C40</f>
        <v>1945</v>
      </c>
      <c r="D40" s="47">
        <f>'1er Semestre'!D40+'2do Semestre '!D40</f>
        <v>115478</v>
      </c>
      <c r="E40" s="47">
        <f>'1er Semestre'!E40+'2do Semestre '!E40</f>
        <v>0</v>
      </c>
      <c r="F40" s="47">
        <f>'1er Semestre'!F40+'2do Semestre '!F40</f>
        <v>30558</v>
      </c>
    </row>
    <row r="41" spans="1:6" ht="6.75" customHeight="1" x14ac:dyDescent="0.2">
      <c r="A41" s="46"/>
      <c r="B41" s="46"/>
      <c r="C41" s="46"/>
      <c r="D41" s="46"/>
      <c r="E41" s="46"/>
      <c r="F41" s="46"/>
    </row>
    <row r="42" spans="1:6" x14ac:dyDescent="0.2">
      <c r="A42" s="45" t="str">
        <f>Enero!A42</f>
        <v>CUERO, PELO Y GRASA ANIMAL</v>
      </c>
      <c r="B42" s="45">
        <f>'1er Semestre'!B42+'2do Semestre '!B42</f>
        <v>16</v>
      </c>
      <c r="C42" s="45">
        <f>'1er Semestre'!C42+'2do Semestre '!C42</f>
        <v>0</v>
      </c>
      <c r="D42" s="45">
        <f>'1er Semestre'!D42+'2do Semestre '!D42</f>
        <v>0</v>
      </c>
      <c r="E42" s="45">
        <f>'1er Semestre'!E42+'2do Semestre '!E42</f>
        <v>0</v>
      </c>
      <c r="F42" s="45">
        <f>'1er Semestre'!F42+'2do Semestre '!F42</f>
        <v>0</v>
      </c>
    </row>
    <row r="43" spans="1:6" x14ac:dyDescent="0.2">
      <c r="A43" s="45" t="str">
        <f>Enero!A43</f>
        <v>LANA</v>
      </c>
      <c r="B43" s="45">
        <f>'1er Semestre'!B43+'2do Semestre '!B43</f>
        <v>1507</v>
      </c>
      <c r="C43" s="45">
        <f>'1er Semestre'!C43+'2do Semestre '!C43</f>
        <v>0</v>
      </c>
      <c r="D43" s="45">
        <f>'1er Semestre'!D43+'2do Semestre '!D43</f>
        <v>0</v>
      </c>
      <c r="E43" s="45">
        <f>'1er Semestre'!E43+'2do Semestre '!E43</f>
        <v>0</v>
      </c>
      <c r="F43" s="45">
        <f>'1er Semestre'!F43+'2do Semestre '!F43</f>
        <v>0</v>
      </c>
    </row>
    <row r="44" spans="1:6" x14ac:dyDescent="0.2">
      <c r="A44" s="45" t="str">
        <f>Enero!A44</f>
        <v>LANA LAVADA</v>
      </c>
      <c r="B44" s="45">
        <f>'1er Semestre'!B44+'2do Semestre '!B44</f>
        <v>213</v>
      </c>
      <c r="C44" s="45">
        <f>'1er Semestre'!C44+'2do Semestre '!C44</f>
        <v>0</v>
      </c>
      <c r="D44" s="45">
        <f>'1er Semestre'!D44+'2do Semestre '!D44</f>
        <v>0</v>
      </c>
      <c r="E44" s="45">
        <f>'1er Semestre'!E44+'2do Semestre '!E44</f>
        <v>0</v>
      </c>
      <c r="F44" s="45">
        <f>'1er Semestre'!F44+'2do Semestre '!F44</f>
        <v>0</v>
      </c>
    </row>
    <row r="45" spans="1:6" x14ac:dyDescent="0.2">
      <c r="A45" s="45" t="str">
        <f>Enero!A45</f>
        <v>LANA SUCIA</v>
      </c>
      <c r="B45" s="45">
        <f>'1er Semestre'!B45+'2do Semestre '!B45</f>
        <v>442</v>
      </c>
      <c r="C45" s="45">
        <f>'1er Semestre'!C45+'2do Semestre '!C45</f>
        <v>0</v>
      </c>
      <c r="D45" s="45">
        <f>'1er Semestre'!D45+'2do Semestre '!D45</f>
        <v>0</v>
      </c>
      <c r="E45" s="45">
        <f>'1er Semestre'!E45+'2do Semestre '!E45</f>
        <v>0</v>
      </c>
      <c r="F45" s="45">
        <f>'1er Semestre'!F45+'2do Semestre '!F45</f>
        <v>0</v>
      </c>
    </row>
    <row r="46" spans="1:6" x14ac:dyDescent="0.2">
      <c r="A46" s="45" t="str">
        <f>Enero!A46</f>
        <v>LANA TOPS</v>
      </c>
      <c r="B46" s="45">
        <f>'1er Semestre'!B46+'2do Semestre '!B46</f>
        <v>0</v>
      </c>
      <c r="C46" s="45">
        <f>'1er Semestre'!C46+'2do Semestre '!C46</f>
        <v>0</v>
      </c>
      <c r="D46" s="45">
        <f>'1er Semestre'!D46+'2do Semestre '!D46</f>
        <v>0</v>
      </c>
      <c r="E46" s="45">
        <f>'1er Semestre'!E46+'2do Semestre '!E46</f>
        <v>0</v>
      </c>
      <c r="F46" s="45">
        <f>'1er Semestre'!F46+'2do Semestre '!F46</f>
        <v>0</v>
      </c>
    </row>
    <row r="47" spans="1:6" x14ac:dyDescent="0.2">
      <c r="A47" s="45" t="str">
        <f>Enero!A47</f>
        <v>LANA BLUOSSE</v>
      </c>
      <c r="B47" s="45">
        <f>'1er Semestre'!B47+'2do Semestre '!B47</f>
        <v>254</v>
      </c>
      <c r="C47" s="45">
        <f>'1er Semestre'!C47+'2do Semestre '!C47</f>
        <v>0</v>
      </c>
      <c r="D47" s="45">
        <f>'1er Semestre'!D47+'2do Semestre '!D47</f>
        <v>0</v>
      </c>
      <c r="E47" s="45">
        <f>'1er Semestre'!E47+'2do Semestre '!E47</f>
        <v>0</v>
      </c>
      <c r="F47" s="45">
        <f>'1er Semestre'!F47+'2do Semestre '!F47</f>
        <v>0</v>
      </c>
    </row>
    <row r="48" spans="1:6" x14ac:dyDescent="0.2">
      <c r="A48" s="45" t="str">
        <f>Enero!A48</f>
        <v>LANA PEINADA</v>
      </c>
      <c r="B48" s="45">
        <f>'1er Semestre'!B48+'2do Semestre '!B48</f>
        <v>1344</v>
      </c>
      <c r="C48" s="45">
        <f>'1er Semestre'!C48+'2do Semestre '!C48</f>
        <v>0</v>
      </c>
      <c r="D48" s="45">
        <f>'1er Semestre'!D48+'2do Semestre '!D48</f>
        <v>0</v>
      </c>
      <c r="E48" s="45">
        <f>'1er Semestre'!E48+'2do Semestre '!E48</f>
        <v>0</v>
      </c>
      <c r="F48" s="45">
        <f>'1er Semestre'!F48+'2do Semestre '!F48</f>
        <v>0</v>
      </c>
    </row>
    <row r="49" spans="1:6" x14ac:dyDescent="0.2">
      <c r="A49" s="45"/>
      <c r="B49" s="45">
        <f>'1er Semestre'!B49+'2do Semestre '!B49</f>
        <v>0</v>
      </c>
      <c r="C49" s="45">
        <f>'1er Semestre'!C49+'2do Semestre '!C49</f>
        <v>0</v>
      </c>
      <c r="D49" s="45">
        <f>'1er Semestre'!D49+'2do Semestre '!D49</f>
        <v>0</v>
      </c>
      <c r="E49" s="45">
        <f>'1er Semestre'!E49+'2do Semestre '!E49</f>
        <v>0</v>
      </c>
      <c r="F49" s="45">
        <f>'1er Semestre'!F49+'2do Semestre '!F49</f>
        <v>0</v>
      </c>
    </row>
    <row r="50" spans="1:6" x14ac:dyDescent="0.2">
      <c r="A50" s="45" t="str">
        <f>Enero!A50</f>
        <v xml:space="preserve">OTROS </v>
      </c>
      <c r="B50" s="45">
        <f>'1er Semestre'!B50+'2do Semestre '!B50</f>
        <v>114</v>
      </c>
      <c r="C50" s="45">
        <f>'1er Semestre'!C50+'2do Semestre '!C50</f>
        <v>26</v>
      </c>
      <c r="D50" s="45">
        <f>'1er Semestre'!D50+'2do Semestre '!D50</f>
        <v>0</v>
      </c>
      <c r="E50" s="45">
        <f>'1er Semestre'!E50+'2do Semestre '!E50</f>
        <v>0</v>
      </c>
      <c r="F50" s="45">
        <f>'1er Semestre'!F50+'2do Semestre '!F50</f>
        <v>0</v>
      </c>
    </row>
    <row r="51" spans="1:6" x14ac:dyDescent="0.2">
      <c r="A51" s="47" t="str">
        <f>Enero!A51</f>
        <v>TOTAL SECTOR LANERO</v>
      </c>
      <c r="B51" s="47">
        <f>'1er Semestre'!B51+'2do Semestre '!B51</f>
        <v>3890</v>
      </c>
      <c r="C51" s="47">
        <f>'1er Semestre'!C51+'2do Semestre '!C51</f>
        <v>26</v>
      </c>
      <c r="D51" s="47">
        <f>'1er Semestre'!D51+'2do Semestre '!D51</f>
        <v>0</v>
      </c>
      <c r="E51" s="47">
        <f>'1er Semestre'!E51+'2do Semestre '!E51</f>
        <v>0</v>
      </c>
      <c r="F51" s="47">
        <f>'1er Semestre'!F51+'2do Semestre '!F51</f>
        <v>0</v>
      </c>
    </row>
    <row r="52" spans="1:6" ht="6.75" customHeight="1" x14ac:dyDescent="0.2">
      <c r="A52" s="46"/>
      <c r="B52" s="46"/>
      <c r="C52" s="46"/>
      <c r="D52" s="46"/>
      <c r="E52" s="46"/>
      <c r="F52" s="46"/>
    </row>
    <row r="53" spans="1:6" x14ac:dyDescent="0.2">
      <c r="A53" s="45" t="str">
        <f>Enero!A53</f>
        <v>PORFIDO</v>
      </c>
      <c r="B53" s="45">
        <f>'1er Semestre'!B53+'2do Semestre '!B53</f>
        <v>0</v>
      </c>
      <c r="C53" s="45">
        <f>'1er Semestre'!C53+'2do Semestre '!C53</f>
        <v>0</v>
      </c>
      <c r="D53" s="45">
        <f>'1er Semestre'!D53+'2do Semestre '!D53</f>
        <v>0</v>
      </c>
      <c r="E53" s="45">
        <f>'1er Semestre'!E53+'2do Semestre '!E53</f>
        <v>0</v>
      </c>
      <c r="F53" s="45">
        <f>'1er Semestre'!F53+'2do Semestre '!F53</f>
        <v>0</v>
      </c>
    </row>
    <row r="54" spans="1:6" x14ac:dyDescent="0.2">
      <c r="A54" s="45"/>
      <c r="B54" s="45"/>
      <c r="C54" s="45"/>
      <c r="D54" s="45"/>
      <c r="E54" s="45"/>
      <c r="F54" s="45"/>
    </row>
    <row r="55" spans="1:6" x14ac:dyDescent="0.2">
      <c r="A55" s="45" t="str">
        <f>Enero!A55</f>
        <v xml:space="preserve">OTROS </v>
      </c>
      <c r="B55" s="45">
        <f>'1er Semestre'!B55+'2do Semestre '!B55</f>
        <v>0</v>
      </c>
      <c r="C55" s="45">
        <f>'1er Semestre'!C55+'2do Semestre '!C55</f>
        <v>0</v>
      </c>
      <c r="D55" s="45">
        <f>'1er Semestre'!D55+'2do Semestre '!D55</f>
        <v>0</v>
      </c>
      <c r="E55" s="45">
        <f>'1er Semestre'!E55+'2do Semestre '!E55</f>
        <v>0</v>
      </c>
      <c r="F55" s="45">
        <f>'1er Semestre'!F55+'2do Semestre '!F55</f>
        <v>0</v>
      </c>
    </row>
    <row r="56" spans="1:6" x14ac:dyDescent="0.2">
      <c r="A56" s="47" t="str">
        <f>Enero!A56</f>
        <v>TOTAL SECTOR PORFIDOS</v>
      </c>
      <c r="B56" s="47">
        <f>'1er Semestre'!B56+'2do Semestre '!B56</f>
        <v>0</v>
      </c>
      <c r="C56" s="47">
        <f>'1er Semestre'!C56+'2do Semestre '!C56</f>
        <v>0</v>
      </c>
      <c r="D56" s="47">
        <f>'1er Semestre'!D56+'2do Semestre '!D56</f>
        <v>0</v>
      </c>
      <c r="E56" s="47">
        <f>'1er Semestre'!E56+'2do Semestre '!E56</f>
        <v>0</v>
      </c>
      <c r="F56" s="47">
        <f>'1er Semestre'!F56+'2do Semestre '!F56</f>
        <v>0</v>
      </c>
    </row>
    <row r="57" spans="1:6" ht="6.75" customHeight="1" x14ac:dyDescent="0.2">
      <c r="A57" s="46"/>
      <c r="B57" s="46"/>
      <c r="C57" s="46"/>
      <c r="D57" s="46"/>
      <c r="E57" s="46"/>
      <c r="F57" s="46"/>
    </row>
    <row r="58" spans="1:6" x14ac:dyDescent="0.2">
      <c r="A58" s="45" t="str">
        <f>Enero!A58</f>
        <v>FRUTA DESHIDRATADA</v>
      </c>
      <c r="B58" s="45">
        <f>'1er Semestre'!B58+'2do Semestre '!B58</f>
        <v>0</v>
      </c>
      <c r="C58" s="45">
        <f>'1er Semestre'!C58+'2do Semestre '!C58</f>
        <v>0</v>
      </c>
      <c r="D58" s="45">
        <f>'1er Semestre'!D58+'2do Semestre '!D58</f>
        <v>0</v>
      </c>
      <c r="E58" s="45">
        <f>'1er Semestre'!E58+'2do Semestre '!E58</f>
        <v>0</v>
      </c>
      <c r="F58" s="45">
        <f>'1er Semestre'!F58+'2do Semestre '!F58</f>
        <v>0</v>
      </c>
    </row>
    <row r="59" spans="1:6" x14ac:dyDescent="0.2">
      <c r="A59" s="45" t="str">
        <f>Enero!A59</f>
        <v>JUGOS CONCENTRADOS</v>
      </c>
      <c r="B59" s="45">
        <f>'1er Semestre'!B59+'2do Semestre '!B59</f>
        <v>0</v>
      </c>
      <c r="C59" s="45">
        <f>'1er Semestre'!C59+'2do Semestre '!C59</f>
        <v>0</v>
      </c>
      <c r="D59" s="45">
        <f>'1er Semestre'!D59+'2do Semestre '!D59</f>
        <v>0</v>
      </c>
      <c r="E59" s="45">
        <f>'1er Semestre'!E59+'2do Semestre '!E59</f>
        <v>0</v>
      </c>
      <c r="F59" s="45">
        <f>'1er Semestre'!F59+'2do Semestre '!F59</f>
        <v>0</v>
      </c>
    </row>
    <row r="60" spans="1:6" x14ac:dyDescent="0.2">
      <c r="A60" s="45" t="str">
        <f>Enero!A60</f>
        <v>MANZANA REFRIGERADA</v>
      </c>
      <c r="B60" s="45">
        <f>'1er Semestre'!B60+'2do Semestre '!B60</f>
        <v>0</v>
      </c>
      <c r="C60" s="45">
        <f>'1er Semestre'!C60+'2do Semestre '!C60</f>
        <v>0</v>
      </c>
      <c r="D60" s="45">
        <f>'1er Semestre'!D60+'2do Semestre '!D60</f>
        <v>0</v>
      </c>
      <c r="E60" s="45">
        <f>'1er Semestre'!E60+'2do Semestre '!E60</f>
        <v>0</v>
      </c>
      <c r="F60" s="45">
        <f>'1er Semestre'!F60+'2do Semestre '!F60</f>
        <v>0</v>
      </c>
    </row>
    <row r="61" spans="1:6" x14ac:dyDescent="0.2">
      <c r="A61" s="45" t="str">
        <f>Enero!A61</f>
        <v>PERA REFRIGERADA</v>
      </c>
      <c r="B61" s="45">
        <f>'1er Semestre'!B61+'2do Semestre '!B61</f>
        <v>0</v>
      </c>
      <c r="C61" s="45">
        <f>'1er Semestre'!C61+'2do Semestre '!C61</f>
        <v>0</v>
      </c>
      <c r="D61" s="45">
        <f>'1er Semestre'!D61+'2do Semestre '!D61</f>
        <v>0</v>
      </c>
      <c r="E61" s="45">
        <f>'1er Semestre'!E61+'2do Semestre '!E61</f>
        <v>0</v>
      </c>
      <c r="F61" s="45">
        <f>'1er Semestre'!F61+'2do Semestre '!F61</f>
        <v>0</v>
      </c>
    </row>
    <row r="62" spans="1:6" x14ac:dyDescent="0.2">
      <c r="A62" s="45"/>
      <c r="B62" s="45"/>
      <c r="C62" s="45"/>
      <c r="D62" s="45"/>
      <c r="E62" s="45"/>
      <c r="F62" s="45"/>
    </row>
    <row r="63" spans="1:6" x14ac:dyDescent="0.2">
      <c r="A63" s="45" t="str">
        <f>Enero!A63</f>
        <v xml:space="preserve">OTROS </v>
      </c>
      <c r="B63" s="45">
        <f>'1er Semestre'!B63+'2do Semestre '!B63</f>
        <v>0</v>
      </c>
      <c r="C63" s="45">
        <f>'1er Semestre'!C63+'2do Semestre '!C63</f>
        <v>0</v>
      </c>
      <c r="D63" s="45">
        <f>'1er Semestre'!D63+'2do Semestre '!D63</f>
        <v>0</v>
      </c>
      <c r="E63" s="45">
        <f>'1er Semestre'!E63+'2do Semestre '!E63</f>
        <v>0</v>
      </c>
      <c r="F63" s="45">
        <f>'1er Semestre'!F63+'2do Semestre '!F63</f>
        <v>0</v>
      </c>
    </row>
    <row r="64" spans="1:6" x14ac:dyDescent="0.2">
      <c r="A64" s="47" t="str">
        <f>Enero!A64</f>
        <v>TOTAL SECTOR FRUTAS Y VERDURAS</v>
      </c>
      <c r="B64" s="47">
        <f>'1er Semestre'!B64+'2do Semestre '!B64</f>
        <v>0</v>
      </c>
      <c r="C64" s="47">
        <f>'1er Semestre'!C64+'2do Semestre '!C64</f>
        <v>0</v>
      </c>
      <c r="D64" s="47">
        <f>'1er Semestre'!D64+'2do Semestre '!D64</f>
        <v>0</v>
      </c>
      <c r="E64" s="47">
        <f>'1er Semestre'!E64+'2do Semestre '!E64</f>
        <v>0</v>
      </c>
      <c r="F64" s="47">
        <f>'1er Semestre'!F64+'2do Semestre '!F64</f>
        <v>0</v>
      </c>
    </row>
    <row r="65" spans="1:6" ht="6.75" customHeight="1" x14ac:dyDescent="0.2">
      <c r="A65" s="46"/>
      <c r="B65" s="46"/>
      <c r="C65" s="46"/>
      <c r="D65" s="46"/>
      <c r="E65" s="46"/>
      <c r="F65" s="46"/>
    </row>
    <row r="66" spans="1:6" x14ac:dyDescent="0.2">
      <c r="A66" s="45" t="str">
        <f>Enero!A66</f>
        <v>ALGAS MARINAS</v>
      </c>
      <c r="B66" s="45">
        <f>'1er Semestre'!B66+'2do Semestre '!B66</f>
        <v>0</v>
      </c>
      <c r="C66" s="45">
        <f>'1er Semestre'!C66+'2do Semestre '!C66</f>
        <v>0</v>
      </c>
      <c r="D66" s="45">
        <f>'1er Semestre'!D66+'2do Semestre '!D66</f>
        <v>0</v>
      </c>
      <c r="E66" s="45">
        <f>'1er Semestre'!E66+'2do Semestre '!E66</f>
        <v>0</v>
      </c>
      <c r="F66" s="45">
        <f>'1er Semestre'!F66+'2do Semestre '!F66</f>
        <v>0</v>
      </c>
    </row>
    <row r="67" spans="1:6" x14ac:dyDescent="0.2">
      <c r="A67" s="45" t="str">
        <f>Enero!A67</f>
        <v>CARNES COMESTIBLES</v>
      </c>
      <c r="B67" s="45">
        <f>'1er Semestre'!B67+'2do Semestre '!B67</f>
        <v>17</v>
      </c>
      <c r="C67" s="45">
        <f>'1er Semestre'!C67+'2do Semestre '!C67</f>
        <v>0</v>
      </c>
      <c r="D67" s="45">
        <f>'1er Semestre'!D67+'2do Semestre '!D67</f>
        <v>0</v>
      </c>
      <c r="E67" s="45">
        <f>'1er Semestre'!E67+'2do Semestre '!E67</f>
        <v>0</v>
      </c>
      <c r="F67" s="45">
        <f>'1er Semestre'!F67+'2do Semestre '!F67</f>
        <v>0</v>
      </c>
    </row>
    <row r="68" spans="1:6" x14ac:dyDescent="0.2">
      <c r="A68" s="45" t="str">
        <f>Enero!A68</f>
        <v>CONCENTRADO DE PLATA</v>
      </c>
      <c r="B68" s="45">
        <f>'1er Semestre'!B68+'2do Semestre '!B68</f>
        <v>2479</v>
      </c>
      <c r="C68" s="45">
        <f>'1er Semestre'!C68+'2do Semestre '!C68</f>
        <v>0</v>
      </c>
      <c r="D68" s="45">
        <f>'1er Semestre'!D68+'2do Semestre '!D68</f>
        <v>0</v>
      </c>
      <c r="E68" s="45">
        <f>'1er Semestre'!E68+'2do Semestre '!E68</f>
        <v>0</v>
      </c>
      <c r="F68" s="45">
        <f>'1er Semestre'!F68+'2do Semestre '!F68</f>
        <v>0</v>
      </c>
    </row>
    <row r="69" spans="1:6" x14ac:dyDescent="0.2">
      <c r="A69" s="45" t="str">
        <f>Enero!A69</f>
        <v>DONACIONES INTERNAC.</v>
      </c>
      <c r="B69" s="45">
        <f>'1er Semestre'!B69+'2do Semestre '!B69</f>
        <v>0</v>
      </c>
      <c r="C69" s="45">
        <f>'1er Semestre'!C69+'2do Semestre '!C69</f>
        <v>0</v>
      </c>
      <c r="D69" s="45">
        <f>'1er Semestre'!D69+'2do Semestre '!D69</f>
        <v>0</v>
      </c>
      <c r="E69" s="45">
        <f>'1er Semestre'!E69+'2do Semestre '!E69</f>
        <v>0</v>
      </c>
      <c r="F69" s="45">
        <f>'1er Semestre'!F69+'2do Semestre '!F69</f>
        <v>0</v>
      </c>
    </row>
    <row r="70" spans="1:6" x14ac:dyDescent="0.2">
      <c r="A70" s="45" t="str">
        <f>Enero!A70</f>
        <v>EFECTOS PERSONALES</v>
      </c>
      <c r="B70" s="45">
        <f>'1er Semestre'!B70+'2do Semestre '!B70</f>
        <v>0</v>
      </c>
      <c r="C70" s="45">
        <f>'1er Semestre'!C70+'2do Semestre '!C70</f>
        <v>2</v>
      </c>
      <c r="D70" s="45">
        <f>'1er Semestre'!D70+'2do Semestre '!D70</f>
        <v>0</v>
      </c>
      <c r="E70" s="45">
        <f>'1er Semestre'!E70+'2do Semestre '!E70</f>
        <v>0</v>
      </c>
      <c r="F70" s="45">
        <f>'1er Semestre'!F70+'2do Semestre '!F70</f>
        <v>0</v>
      </c>
    </row>
    <row r="71" spans="1:6" x14ac:dyDescent="0.2">
      <c r="A71" s="45" t="str">
        <f>Enero!A71</f>
        <v>MAQUINAS Y APARATOS</v>
      </c>
      <c r="B71" s="45">
        <f>'1er Semestre'!B71+'2do Semestre '!B71</f>
        <v>0</v>
      </c>
      <c r="C71" s="45">
        <f>'1er Semestre'!C71+'2do Semestre '!C71</f>
        <v>0</v>
      </c>
      <c r="D71" s="45">
        <f>'1er Semestre'!D71+'2do Semestre '!D71</f>
        <v>0</v>
      </c>
      <c r="E71" s="45">
        <f>'1er Semestre'!E71+'2do Semestre '!E71</f>
        <v>0</v>
      </c>
      <c r="F71" s="45">
        <f>'1er Semestre'!F71+'2do Semestre '!F71</f>
        <v>0</v>
      </c>
    </row>
    <row r="72" spans="1:6" x14ac:dyDescent="0.2">
      <c r="A72" s="45" t="str">
        <f>Enero!A72</f>
        <v>GENERADORES EOLICOS</v>
      </c>
      <c r="B72" s="45">
        <f>'1er Semestre'!B72+'2do Semestre '!B72</f>
        <v>0</v>
      </c>
      <c r="C72" s="45">
        <f>'1er Semestre'!C72+'2do Semestre '!C72</f>
        <v>17439</v>
      </c>
      <c r="D72" s="45">
        <f>'1er Semestre'!D72+'2do Semestre '!D72</f>
        <v>0</v>
      </c>
      <c r="E72" s="45">
        <f>'1er Semestre'!E72+'2do Semestre '!E72</f>
        <v>0</v>
      </c>
      <c r="F72" s="45">
        <f>'1er Semestre'!F72+'2do Semestre '!F72</f>
        <v>0</v>
      </c>
    </row>
    <row r="73" spans="1:6" x14ac:dyDescent="0.2">
      <c r="A73" s="45" t="str">
        <f>Enero!A73</f>
        <v>GRUAS Y ELEMENTOS DE IZAJES</v>
      </c>
      <c r="B73" s="45">
        <f>'1er Semestre'!B73+'2do Semestre '!B73</f>
        <v>0</v>
      </c>
      <c r="C73" s="45">
        <f>'1er Semestre'!C73+'2do Semestre '!C73</f>
        <v>0</v>
      </c>
      <c r="D73" s="45">
        <f>'1er Semestre'!D73+'2do Semestre '!D73</f>
        <v>0</v>
      </c>
      <c r="E73" s="45">
        <f>'1er Semestre'!E73+'2do Semestre '!E73</f>
        <v>0</v>
      </c>
      <c r="F73" s="45">
        <f>'1er Semestre'!F73+'2do Semestre '!F73</f>
        <v>0</v>
      </c>
    </row>
    <row r="74" spans="1:6" x14ac:dyDescent="0.2">
      <c r="A74" s="45"/>
      <c r="B74" s="45"/>
      <c r="C74" s="45"/>
      <c r="D74" s="45"/>
      <c r="E74" s="45"/>
      <c r="F74" s="45"/>
    </row>
    <row r="75" spans="1:6" x14ac:dyDescent="0.2">
      <c r="A75" s="45" t="str">
        <f>Enero!A75</f>
        <v xml:space="preserve">OTROS </v>
      </c>
      <c r="B75" s="45">
        <f>'1er Semestre'!B75+'2do Semestre '!B75</f>
        <v>2470</v>
      </c>
      <c r="C75" s="45">
        <f>'1er Semestre'!C75+'2do Semestre '!C75</f>
        <v>9586</v>
      </c>
      <c r="D75" s="45">
        <f>'1er Semestre'!D75+'2do Semestre '!D75</f>
        <v>0</v>
      </c>
      <c r="E75" s="45">
        <f>'1er Semestre'!E75+'2do Semestre '!E75</f>
        <v>0</v>
      </c>
      <c r="F75" s="45">
        <f>'1er Semestre'!F75+'2do Semestre '!F75</f>
        <v>0</v>
      </c>
    </row>
    <row r="76" spans="1:6" x14ac:dyDescent="0.2">
      <c r="A76" s="47" t="str">
        <f>Enero!A76</f>
        <v>TOTAL SECTOR OTRAS MERCADERIAS</v>
      </c>
      <c r="B76" s="47">
        <f>'1er Semestre'!B76+'2do Semestre '!B76</f>
        <v>4966</v>
      </c>
      <c r="C76" s="47">
        <f>'1er Semestre'!C76+'2do Semestre '!C76</f>
        <v>27027</v>
      </c>
      <c r="D76" s="47">
        <f>'1er Semestre'!D76+'2do Semestre '!D76</f>
        <v>0</v>
      </c>
      <c r="E76" s="47">
        <f>'1er Semestre'!E76+'2do Semestre '!E76</f>
        <v>0</v>
      </c>
      <c r="F76" s="47">
        <f>'1er Semestre'!F76+'2do Semestre '!F76</f>
        <v>0</v>
      </c>
    </row>
    <row r="77" spans="1:6" ht="6.75" customHeight="1" x14ac:dyDescent="0.2">
      <c r="A77" s="46"/>
      <c r="B77" s="46"/>
      <c r="C77" s="46"/>
      <c r="D77" s="46"/>
      <c r="E77" s="46"/>
      <c r="F77" s="46"/>
    </row>
    <row r="78" spans="1:6" x14ac:dyDescent="0.2">
      <c r="A78" s="48" t="s">
        <v>148</v>
      </c>
      <c r="B78" s="49">
        <f t="shared" ref="B78:F78" si="0">+B28+B40+B51+B56+B64+B76</f>
        <v>527888</v>
      </c>
      <c r="C78" s="49">
        <f t="shared" si="0"/>
        <v>890183</v>
      </c>
      <c r="D78" s="49">
        <f t="shared" si="0"/>
        <v>339390</v>
      </c>
      <c r="E78" s="49">
        <f t="shared" si="0"/>
        <v>0</v>
      </c>
      <c r="F78" s="49">
        <f t="shared" si="0"/>
        <v>30558</v>
      </c>
    </row>
    <row r="79" spans="1:6" ht="15.75" x14ac:dyDescent="0.25">
      <c r="A79" s="50" t="s">
        <v>147</v>
      </c>
      <c r="B79" s="77">
        <f>SUM(B78:F78)</f>
        <v>1788019</v>
      </c>
      <c r="C79" s="77"/>
      <c r="D79" s="77"/>
      <c r="E79" s="77"/>
      <c r="F79" s="77"/>
    </row>
    <row r="80" spans="1:6" x14ac:dyDescent="0.2">
      <c r="A80" s="53" t="s">
        <v>145</v>
      </c>
      <c r="B80" s="54"/>
      <c r="C80" s="54"/>
      <c r="D80" s="54"/>
      <c r="E80" s="54"/>
      <c r="F80" s="54"/>
    </row>
    <row r="81" spans="1:6" x14ac:dyDescent="0.2">
      <c r="A81" s="72" t="s">
        <v>127</v>
      </c>
      <c r="B81" s="55"/>
      <c r="C81" s="51"/>
      <c r="D81" s="56" t="s">
        <v>128</v>
      </c>
      <c r="E81" s="43"/>
      <c r="F81" s="57"/>
    </row>
    <row r="82" spans="1:6" x14ac:dyDescent="0.2">
      <c r="A82" s="58" t="s">
        <v>8</v>
      </c>
      <c r="B82" s="87">
        <f>B28</f>
        <v>385032</v>
      </c>
      <c r="C82" s="51"/>
      <c r="D82" s="59" t="str">
        <f>Enero!D82</f>
        <v>BUQUE CARGA GENERAL</v>
      </c>
      <c r="E82" s="43"/>
      <c r="F82" s="57">
        <f>'1er Semestre'!F82+'2do Semestre '!F82</f>
        <v>19</v>
      </c>
    </row>
    <row r="83" spans="1:6" x14ac:dyDescent="0.2">
      <c r="A83" s="58" t="s">
        <v>64</v>
      </c>
      <c r="B83" s="87">
        <f>B40</f>
        <v>134000</v>
      </c>
      <c r="C83" s="52"/>
      <c r="D83" s="59" t="str">
        <f>Enero!D83</f>
        <v>FRIGORIFICO</v>
      </c>
      <c r="E83" s="43"/>
      <c r="F83" s="57">
        <f>'1er Semestre'!F83+'2do Semestre '!F83</f>
        <v>0</v>
      </c>
    </row>
    <row r="84" spans="1:6" x14ac:dyDescent="0.2">
      <c r="A84" s="58" t="s">
        <v>65</v>
      </c>
      <c r="B84" s="87">
        <f>B56</f>
        <v>0</v>
      </c>
      <c r="C84" s="52"/>
      <c r="D84" s="59" t="str">
        <f>Enero!D84</f>
        <v>CISTERNA (TANQUE)</v>
      </c>
      <c r="E84" s="43"/>
      <c r="F84" s="57">
        <f>'1er Semestre'!F84+'2do Semestre '!F84</f>
        <v>2</v>
      </c>
    </row>
    <row r="85" spans="1:6" x14ac:dyDescent="0.2">
      <c r="A85" s="58" t="s">
        <v>66</v>
      </c>
      <c r="B85" s="87">
        <f>B64</f>
        <v>0</v>
      </c>
      <c r="C85" s="52"/>
      <c r="D85" s="59" t="str">
        <f>Enero!D85</f>
        <v>MINERALERO</v>
      </c>
      <c r="E85" s="43"/>
      <c r="F85" s="57">
        <f>'1er Semestre'!F85+'2do Semestre '!F85</f>
        <v>30</v>
      </c>
    </row>
    <row r="86" spans="1:6" x14ac:dyDescent="0.2">
      <c r="A86" s="58" t="s">
        <v>39</v>
      </c>
      <c r="B86" s="87">
        <f>B51</f>
        <v>3890</v>
      </c>
      <c r="C86" s="52"/>
      <c r="D86" s="59" t="str">
        <f>Enero!D86</f>
        <v>PASAJEROS</v>
      </c>
      <c r="E86" s="43"/>
      <c r="F86" s="57">
        <f>'1er Semestre'!F86+'2do Semestre '!F86</f>
        <v>44</v>
      </c>
    </row>
    <row r="87" spans="1:6" x14ac:dyDescent="0.2">
      <c r="A87" s="58" t="s">
        <v>68</v>
      </c>
      <c r="B87" s="87">
        <f>B76</f>
        <v>4966</v>
      </c>
      <c r="C87" s="52"/>
      <c r="D87" s="59" t="str">
        <f>Enero!D87</f>
        <v>PESQUERO CAJONERO</v>
      </c>
      <c r="E87" s="43"/>
      <c r="F87" s="57">
        <f>'1er Semestre'!F87+'2do Semestre '!F87</f>
        <v>528</v>
      </c>
    </row>
    <row r="88" spans="1:6" x14ac:dyDescent="0.2">
      <c r="A88" s="60" t="s">
        <v>129</v>
      </c>
      <c r="B88" s="79">
        <f>SUM(B82:B87)</f>
        <v>527888</v>
      </c>
      <c r="C88" s="52"/>
      <c r="D88" s="59" t="str">
        <f>Enero!D88</f>
        <v>PESQUERO FACTORIA</v>
      </c>
      <c r="E88" s="43"/>
      <c r="F88" s="57">
        <f>'1er Semestre'!F88+'2do Semestre '!F88</f>
        <v>37</v>
      </c>
    </row>
    <row r="89" spans="1:6" x14ac:dyDescent="0.2">
      <c r="A89" s="52"/>
      <c r="B89" s="52"/>
      <c r="C89" s="52"/>
      <c r="D89" s="59" t="str">
        <f>Enero!D89</f>
        <v>PESQUERO TANGONERO</v>
      </c>
      <c r="E89" s="43"/>
      <c r="F89" s="57">
        <f>'1er Semestre'!F89+'2do Semestre '!F89</f>
        <v>425</v>
      </c>
    </row>
    <row r="90" spans="1:6" x14ac:dyDescent="0.2">
      <c r="A90" s="73" t="s">
        <v>130</v>
      </c>
      <c r="B90" s="74"/>
      <c r="C90" s="52"/>
      <c r="D90" s="59" t="str">
        <f>Enero!D90</f>
        <v>PESQUERO POTERO</v>
      </c>
      <c r="E90" s="43"/>
      <c r="F90" s="57">
        <f>'1er Semestre'!F90+'2do Semestre '!F90</f>
        <v>119</v>
      </c>
    </row>
    <row r="91" spans="1:6" x14ac:dyDescent="0.2">
      <c r="A91" s="61" t="str">
        <f>Enero!A91</f>
        <v>ALUMINA</v>
      </c>
      <c r="B91" s="86">
        <f>C4</f>
        <v>802855</v>
      </c>
      <c r="C91" s="51"/>
      <c r="D91" s="59" t="str">
        <f>Enero!D91</f>
        <v>PORTACONTENEDORES</v>
      </c>
      <c r="E91" s="43"/>
      <c r="F91" s="57">
        <f>'1er Semestre'!F91+'2do Semestre '!F91</f>
        <v>28</v>
      </c>
    </row>
    <row r="92" spans="1:6" x14ac:dyDescent="0.2">
      <c r="A92" s="61" t="str">
        <f>Enero!A92</f>
        <v>BREA</v>
      </c>
      <c r="B92" s="86">
        <f>C8</f>
        <v>26365</v>
      </c>
      <c r="C92" s="51"/>
      <c r="D92" s="59" t="str">
        <f>Enero!D92</f>
        <v>CATAMARAN</v>
      </c>
      <c r="E92" s="43"/>
      <c r="F92" s="57">
        <f>'1er Semestre'!F92+'2do Semestre '!F92</f>
        <v>1</v>
      </c>
    </row>
    <row r="93" spans="1:6" x14ac:dyDescent="0.2">
      <c r="A93" s="61" t="str">
        <f>Enero!A93</f>
        <v>OTROS</v>
      </c>
      <c r="B93" s="86">
        <f>C78-C4-C8-C72</f>
        <v>43524</v>
      </c>
      <c r="C93" s="51"/>
      <c r="D93" s="59" t="str">
        <f>Enero!D93</f>
        <v>OTRO</v>
      </c>
      <c r="E93" s="43"/>
      <c r="F93" s="57">
        <f>'1er Semestre'!F93+'2do Semestre '!F93</f>
        <v>48</v>
      </c>
    </row>
    <row r="94" spans="1:6" x14ac:dyDescent="0.2">
      <c r="A94" s="61" t="str">
        <f>Enero!A94</f>
        <v>AEROGENERADORES</v>
      </c>
      <c r="B94" s="86">
        <f>C72</f>
        <v>17439</v>
      </c>
      <c r="C94" s="51"/>
      <c r="D94" s="56" t="str">
        <f>Enero!D94</f>
        <v>TOTAL BUQUES</v>
      </c>
      <c r="E94" s="75"/>
      <c r="F94" s="62">
        <f>SUM(F82:F93)</f>
        <v>1281</v>
      </c>
    </row>
    <row r="95" spans="1:6" x14ac:dyDescent="0.2">
      <c r="A95" s="63" t="s">
        <v>131</v>
      </c>
      <c r="B95" s="78">
        <f>SUM(B91:B94)</f>
        <v>890183</v>
      </c>
      <c r="C95" s="51"/>
      <c r="D95" s="64"/>
      <c r="E95" s="54"/>
      <c r="F95" s="52"/>
    </row>
    <row r="96" spans="1:6" x14ac:dyDescent="0.2">
      <c r="A96" s="52"/>
      <c r="B96" s="51"/>
      <c r="C96" s="52"/>
      <c r="D96" s="65"/>
      <c r="E96" s="54"/>
      <c r="F96" s="66"/>
    </row>
    <row r="97" spans="1:6" ht="15" x14ac:dyDescent="0.25">
      <c r="A97" s="83"/>
      <c r="B97" s="83"/>
      <c r="C97" s="84" t="s">
        <v>143</v>
      </c>
      <c r="D97" s="83"/>
      <c r="E97" s="83"/>
      <c r="F97" s="83"/>
    </row>
    <row r="98" spans="1:6" ht="15" x14ac:dyDescent="0.25">
      <c r="A98" s="85" t="s">
        <v>144</v>
      </c>
      <c r="B98" s="54"/>
      <c r="C98" s="54"/>
      <c r="D98" s="54"/>
      <c r="E98" s="54"/>
      <c r="F98" s="54"/>
    </row>
    <row r="99" spans="1:6" x14ac:dyDescent="0.2">
      <c r="A99" s="44" t="s">
        <v>89</v>
      </c>
      <c r="B99" s="44" t="s">
        <v>90</v>
      </c>
      <c r="C99" s="44" t="s">
        <v>91</v>
      </c>
      <c r="D99" s="44" t="s">
        <v>92</v>
      </c>
      <c r="E99" s="44" t="s">
        <v>93</v>
      </c>
      <c r="F99" s="44" t="s">
        <v>94</v>
      </c>
    </row>
    <row r="100" spans="1:6" x14ac:dyDescent="0.2">
      <c r="A100" s="47" t="str">
        <f>Enero!A100</f>
        <v>REEFER  40 Pies</v>
      </c>
      <c r="B100" s="68">
        <f>'1er Semestre'!B100+'2do Semestre '!B100</f>
        <v>4995</v>
      </c>
      <c r="C100" s="68">
        <f>'1er Semestre'!C100+'2do Semestre '!C100</f>
        <v>8</v>
      </c>
      <c r="D100" s="68">
        <f>'1er Semestre'!D100+'2do Semestre '!D100</f>
        <v>5635</v>
      </c>
      <c r="E100" s="68">
        <f>'1er Semestre'!E100+'2do Semestre '!E100</f>
        <v>304</v>
      </c>
      <c r="F100" s="68">
        <f>'1er Semestre'!F100+'2do Semestre '!F100</f>
        <v>21884</v>
      </c>
    </row>
    <row r="101" spans="1:6" x14ac:dyDescent="0.2">
      <c r="A101" s="47" t="str">
        <f>Enero!A101</f>
        <v>REEFER HC  40 Pies</v>
      </c>
      <c r="B101" s="68">
        <f>'1er Semestre'!B101+'2do Semestre '!B101</f>
        <v>0</v>
      </c>
      <c r="C101" s="68">
        <f>'1er Semestre'!C101+'2do Semestre '!C101</f>
        <v>0</v>
      </c>
      <c r="D101" s="68">
        <f>'1er Semestre'!D101+'2do Semestre '!D101</f>
        <v>0</v>
      </c>
      <c r="E101" s="68">
        <f>'1er Semestre'!E101+'2do Semestre '!E101</f>
        <v>0</v>
      </c>
      <c r="F101" s="68">
        <f>'1er Semestre'!F101+'2do Semestre '!F101</f>
        <v>0</v>
      </c>
    </row>
    <row r="102" spans="1:6" x14ac:dyDescent="0.2">
      <c r="A102" s="47" t="str">
        <f>Enero!A102</f>
        <v>STANDARD  40 Pies</v>
      </c>
      <c r="B102" s="68">
        <f>'1er Semestre'!B102+'2do Semestre '!B102</f>
        <v>1546</v>
      </c>
      <c r="C102" s="68">
        <f>'1er Semestre'!C102+'2do Semestre '!C102</f>
        <v>1837</v>
      </c>
      <c r="D102" s="68">
        <f>'1er Semestre'!D102+'2do Semestre '!D102</f>
        <v>1077</v>
      </c>
      <c r="E102" s="68">
        <f>'1er Semestre'!E102+'2do Semestre '!E102</f>
        <v>869</v>
      </c>
      <c r="F102" s="68">
        <f>'1er Semestre'!F102+'2do Semestre '!F102</f>
        <v>6004</v>
      </c>
    </row>
    <row r="103" spans="1:6" x14ac:dyDescent="0.2">
      <c r="A103" s="47" t="str">
        <f>Enero!A103</f>
        <v>STANDARD  20 Pies</v>
      </c>
      <c r="B103" s="68">
        <f>'1er Semestre'!B103+'2do Semestre '!B103</f>
        <v>903</v>
      </c>
      <c r="C103" s="68">
        <f>'1er Semestre'!C103+'2do Semestre '!C103</f>
        <v>983</v>
      </c>
      <c r="D103" s="68">
        <f>'1er Semestre'!D103+'2do Semestre '!D103</f>
        <v>330</v>
      </c>
      <c r="E103" s="68">
        <f>'1er Semestre'!E103+'2do Semestre '!E103</f>
        <v>412</v>
      </c>
      <c r="F103" s="68">
        <f>'1er Semestre'!F103+'2do Semestre '!F103</f>
        <v>3657</v>
      </c>
    </row>
    <row r="104" spans="1:6" x14ac:dyDescent="0.2">
      <c r="A104" s="47" t="str">
        <f>Enero!A104</f>
        <v>STANDARD HC  40 Pies</v>
      </c>
      <c r="B104" s="68">
        <f>'1er Semestre'!B104+'2do Semestre '!B104</f>
        <v>0</v>
      </c>
      <c r="C104" s="68">
        <f>'1er Semestre'!C104+'2do Semestre '!C104</f>
        <v>0</v>
      </c>
      <c r="D104" s="68">
        <f>'1er Semestre'!D104+'2do Semestre '!D104</f>
        <v>0</v>
      </c>
      <c r="E104" s="68">
        <f>'1er Semestre'!E104+'2do Semestre '!E104</f>
        <v>0</v>
      </c>
      <c r="F104" s="68">
        <f>'1er Semestre'!F104+'2do Semestre '!F104</f>
        <v>0</v>
      </c>
    </row>
    <row r="105" spans="1:6" x14ac:dyDescent="0.2">
      <c r="A105" s="47" t="str">
        <f>Enero!A105</f>
        <v>OPEN TOP  40 Pies</v>
      </c>
      <c r="B105" s="68">
        <f>'1er Semestre'!B105+'2do Semestre '!B105</f>
        <v>0</v>
      </c>
      <c r="C105" s="68">
        <f>'1er Semestre'!C105+'2do Semestre '!C105</f>
        <v>1</v>
      </c>
      <c r="D105" s="68">
        <f>'1er Semestre'!D105+'2do Semestre '!D105</f>
        <v>0</v>
      </c>
      <c r="E105" s="68">
        <f>'1er Semestre'!E105+'2do Semestre '!E105</f>
        <v>90</v>
      </c>
      <c r="F105" s="68">
        <f>'1er Semestre'!F105+'2do Semestre '!F105</f>
        <v>182</v>
      </c>
    </row>
    <row r="106" spans="1:6" x14ac:dyDescent="0.2">
      <c r="A106" s="47" t="str">
        <f>Enero!A106</f>
        <v>FLAT RACK  40 Pies</v>
      </c>
      <c r="B106" s="68">
        <f>'1er Semestre'!B106+'2do Semestre '!B106</f>
        <v>0</v>
      </c>
      <c r="C106" s="68">
        <f>'1er Semestre'!C106+'2do Semestre '!C106</f>
        <v>0</v>
      </c>
      <c r="D106" s="68">
        <f>'1er Semestre'!D106+'2do Semestre '!D106</f>
        <v>0</v>
      </c>
      <c r="E106" s="68">
        <f>'1er Semestre'!E106+'2do Semestre '!E106</f>
        <v>0</v>
      </c>
      <c r="F106" s="68">
        <f>'1er Semestre'!F106+'2do Semestre '!F106</f>
        <v>0</v>
      </c>
    </row>
    <row r="107" spans="1:6" x14ac:dyDescent="0.2">
      <c r="A107" s="47" t="str">
        <f>Enero!A107</f>
        <v>OPEN SIDE  20 Pies</v>
      </c>
      <c r="B107" s="68">
        <f>'1er Semestre'!B107+'2do Semestre '!B107</f>
        <v>0</v>
      </c>
      <c r="C107" s="68">
        <f>'1er Semestre'!C107+'2do Semestre '!C107</f>
        <v>0</v>
      </c>
      <c r="D107" s="68">
        <f>'1er Semestre'!D107+'2do Semestre '!D107</f>
        <v>0</v>
      </c>
      <c r="E107" s="68">
        <f>'1er Semestre'!E107+'2do Semestre '!E107</f>
        <v>0</v>
      </c>
      <c r="F107" s="68">
        <f>'1er Semestre'!F107+'2do Semestre '!F107</f>
        <v>0</v>
      </c>
    </row>
    <row r="108" spans="1:6" x14ac:dyDescent="0.2">
      <c r="A108" s="47" t="str">
        <f>Enero!A108</f>
        <v>TANK  20 Pies</v>
      </c>
      <c r="B108" s="68">
        <f>'1er Semestre'!B108+'2do Semestre '!B108</f>
        <v>0</v>
      </c>
      <c r="C108" s="68">
        <f>'1er Semestre'!C108+'2do Semestre '!C108</f>
        <v>0</v>
      </c>
      <c r="D108" s="68">
        <f>'1er Semestre'!D108+'2do Semestre '!D108</f>
        <v>0</v>
      </c>
      <c r="E108" s="68">
        <f>'1er Semestre'!E108+'2do Semestre '!E108</f>
        <v>0</v>
      </c>
      <c r="F108" s="68">
        <f>'1er Semestre'!F108+'2do Semestre '!F108</f>
        <v>0</v>
      </c>
    </row>
    <row r="109" spans="1:6" x14ac:dyDescent="0.2">
      <c r="A109" s="69" t="str">
        <f>Enero!A109</f>
        <v>Totales</v>
      </c>
      <c r="B109" s="69">
        <f>SUM(B100:B108)</f>
        <v>7444</v>
      </c>
      <c r="C109" s="70">
        <f>SUM(C100:C108)</f>
        <v>2829</v>
      </c>
      <c r="D109" s="69">
        <f>SUM(D100:D108)</f>
        <v>7042</v>
      </c>
      <c r="E109" s="69">
        <f>SUM(E100:E108)</f>
        <v>1675</v>
      </c>
      <c r="F109" s="69">
        <f>SUM(F100:F108)</f>
        <v>31727</v>
      </c>
    </row>
    <row r="110" spans="1:6" ht="15.75" x14ac:dyDescent="0.25">
      <c r="A110" s="47" t="str">
        <f>Enero!A110</f>
        <v>Total Contenedores</v>
      </c>
      <c r="B110" s="80">
        <f>SUM(B109:E109)</f>
        <v>18990</v>
      </c>
      <c r="C110" s="81"/>
      <c r="D110" s="81"/>
      <c r="E110" s="82"/>
    </row>
  </sheetData>
  <sheetProtection sheet="1" objects="1" scenarios="1"/>
  <mergeCells count="22">
    <mergeCell ref="D95:E95"/>
    <mergeCell ref="D96:E96"/>
    <mergeCell ref="B110:E110"/>
    <mergeCell ref="A98:F98"/>
    <mergeCell ref="A90:B90"/>
    <mergeCell ref="D90:E90"/>
    <mergeCell ref="D91:E91"/>
    <mergeCell ref="D92:E92"/>
    <mergeCell ref="D93:E93"/>
    <mergeCell ref="D94:E94"/>
    <mergeCell ref="D84:E84"/>
    <mergeCell ref="D85:E85"/>
    <mergeCell ref="D86:E86"/>
    <mergeCell ref="D87:E87"/>
    <mergeCell ref="D88:E88"/>
    <mergeCell ref="D89:E89"/>
    <mergeCell ref="A1:F1"/>
    <mergeCell ref="B79:F79"/>
    <mergeCell ref="A80:F80"/>
    <mergeCell ref="D81:E81"/>
    <mergeCell ref="D82:E82"/>
    <mergeCell ref="D83:E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9" workbookViewId="0">
      <selection activeCell="F103" sqref="F103"/>
    </sheetView>
  </sheetViews>
  <sheetFormatPr baseColWidth="10" defaultColWidth="9.140625" defaultRowHeight="12.75" x14ac:dyDescent="0.2"/>
  <cols>
    <col min="1" max="1" width="41.28515625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112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507+1726+3732+411</f>
        <v>6376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49885</v>
      </c>
      <c r="D4" s="2"/>
      <c r="E4" s="2"/>
      <c r="F4" s="2"/>
    </row>
    <row r="5" spans="1:6" x14ac:dyDescent="0.2">
      <c r="A5" s="2" t="s">
        <v>8</v>
      </c>
      <c r="B5" s="2">
        <v>6262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>
        <f>5079+1483</f>
        <v>6562</v>
      </c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/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12266</v>
      </c>
      <c r="E12" s="2"/>
      <c r="F12" s="2"/>
    </row>
    <row r="13" spans="1:6" x14ac:dyDescent="0.2">
      <c r="A13" s="2" t="s">
        <v>16</v>
      </c>
      <c r="B13" s="2"/>
      <c r="C13" s="2">
        <v>1131</v>
      </c>
      <c r="D13" s="2"/>
      <c r="E13" s="2"/>
      <c r="F13" s="2"/>
    </row>
    <row r="14" spans="1:6" x14ac:dyDescent="0.2">
      <c r="A14" s="2" t="s">
        <v>17</v>
      </c>
      <c r="B14" s="2"/>
      <c r="C14" s="2">
        <v>29</v>
      </c>
      <c r="D14" s="2"/>
      <c r="E14" s="2"/>
      <c r="F14" s="2"/>
    </row>
    <row r="15" spans="1:6" x14ac:dyDescent="0.2">
      <c r="A15" s="2" t="s">
        <v>18</v>
      </c>
      <c r="B15" s="2"/>
      <c r="C15" s="2">
        <v>387</v>
      </c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>
        <v>2334</v>
      </c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>
        <v>81</v>
      </c>
      <c r="C27" s="2">
        <f>400+25+1+100+124</f>
        <v>650</v>
      </c>
      <c r="D27" s="2"/>
      <c r="E27" s="2"/>
      <c r="F27" s="2"/>
    </row>
    <row r="28" spans="1:6" x14ac:dyDescent="0.2">
      <c r="A28" s="3" t="s">
        <v>30</v>
      </c>
      <c r="B28" s="3">
        <f>SUM(B3:B27)</f>
        <v>12719</v>
      </c>
      <c r="C28" s="3">
        <f>SUM(C3:C27)</f>
        <v>60978</v>
      </c>
      <c r="D28" s="3">
        <f>SUM(D3:D27)</f>
        <v>12266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10642</v>
      </c>
      <c r="C30" s="2"/>
      <c r="D30" s="2">
        <v>16105</v>
      </c>
      <c r="E30" s="2"/>
      <c r="F30" s="2"/>
    </row>
    <row r="31" spans="1:6" x14ac:dyDescent="0.2">
      <c r="A31" s="2" t="s">
        <v>32</v>
      </c>
      <c r="B31" s="2">
        <v>97</v>
      </c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>
        <v>103</v>
      </c>
      <c r="E32" s="2"/>
      <c r="F32" s="2">
        <v>3760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8750</v>
      </c>
      <c r="C34" s="2"/>
      <c r="D34" s="2"/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>
        <f>740+142</f>
        <v>882</v>
      </c>
      <c r="C36" s="2"/>
      <c r="D36" s="2">
        <v>1370</v>
      </c>
      <c r="E36" s="2"/>
      <c r="F36" s="2"/>
    </row>
    <row r="37" spans="1:6" x14ac:dyDescent="0.2">
      <c r="A37" s="2" t="s">
        <v>36</v>
      </c>
      <c r="B37" s="2">
        <f>17+29</f>
        <v>46</v>
      </c>
      <c r="C37" s="2">
        <v>28</v>
      </c>
      <c r="D37" s="2">
        <v>702</v>
      </c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20417</v>
      </c>
      <c r="C40" s="3">
        <f>SUM(C30:C39)</f>
        <v>28</v>
      </c>
      <c r="D40" s="3">
        <f>SUM(D30:D39)</f>
        <v>18280</v>
      </c>
      <c r="E40" s="3">
        <f>SUM(E30:E39)</f>
        <v>0</v>
      </c>
      <c r="F40" s="3">
        <f>SUM(F30:F39)</f>
        <v>3760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233</v>
      </c>
      <c r="C43" s="2"/>
      <c r="D43" s="2"/>
      <c r="E43" s="2"/>
      <c r="F43" s="2"/>
    </row>
    <row r="44" spans="1:6" x14ac:dyDescent="0.2">
      <c r="A44" s="2" t="s">
        <v>40</v>
      </c>
      <c r="B44" s="2">
        <v>38</v>
      </c>
      <c r="C44" s="2"/>
      <c r="D44" s="2"/>
      <c r="E44" s="2"/>
      <c r="F44" s="2"/>
    </row>
    <row r="45" spans="1:6" x14ac:dyDescent="0.2">
      <c r="A45" s="2" t="s">
        <v>41</v>
      </c>
      <c r="B45" s="2">
        <v>110</v>
      </c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>
        <v>14</v>
      </c>
      <c r="C47" s="2"/>
      <c r="D47" s="2"/>
      <c r="E47" s="2"/>
      <c r="F47" s="2"/>
    </row>
    <row r="48" spans="1:6" x14ac:dyDescent="0.2">
      <c r="A48" s="2" t="s">
        <v>44</v>
      </c>
      <c r="B48" s="2">
        <v>171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566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>
        <f>3551+70+1065</f>
        <v>4686</v>
      </c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>
        <f>61+21+21+135</f>
        <v>238</v>
      </c>
      <c r="D75" s="2"/>
      <c r="E75" s="2"/>
      <c r="F75" s="2"/>
    </row>
    <row r="76" spans="1:6" x14ac:dyDescent="0.2">
      <c r="A76" s="3" t="s">
        <v>60</v>
      </c>
      <c r="B76" s="3">
        <f>SUM(B66:B75)</f>
        <v>0</v>
      </c>
      <c r="C76" s="3">
        <f>SUM(C66:C75)</f>
        <v>4924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33702</v>
      </c>
      <c r="C78" s="7">
        <f>SUM(C3:C77)/2</f>
        <v>65930</v>
      </c>
      <c r="D78" s="7">
        <f>SUM(D3:D77)/2</f>
        <v>30546</v>
      </c>
      <c r="E78" s="7">
        <f>SUM(E3:E77)/2</f>
        <v>0</v>
      </c>
      <c r="F78" s="7">
        <f>SUM(F3:F77)/2</f>
        <v>3760</v>
      </c>
    </row>
    <row r="79" spans="1:6" ht="24.95" customHeight="1" x14ac:dyDescent="0.2">
      <c r="A79" s="3" t="s">
        <v>62</v>
      </c>
      <c r="B79" s="24">
        <f>SUM(B78:F78)</f>
        <v>133938</v>
      </c>
      <c r="C79" s="25"/>
      <c r="D79" s="25"/>
      <c r="E79" s="25"/>
      <c r="F79" s="25"/>
    </row>
    <row r="80" spans="1:6" x14ac:dyDescent="0.2">
      <c r="A80" s="38" t="s">
        <v>113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12719</v>
      </c>
      <c r="D82" s="26" t="s">
        <v>71</v>
      </c>
      <c r="E82" s="27"/>
      <c r="F82" s="17">
        <v>4</v>
      </c>
    </row>
    <row r="83" spans="1:6" x14ac:dyDescent="0.2">
      <c r="A83" s="12" t="s">
        <v>64</v>
      </c>
      <c r="B83" s="12">
        <f>B40</f>
        <v>20417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1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1</v>
      </c>
    </row>
    <row r="86" spans="1:6" x14ac:dyDescent="0.2">
      <c r="A86" s="12" t="s">
        <v>67</v>
      </c>
      <c r="B86" s="12">
        <f>B51</f>
        <v>566</v>
      </c>
      <c r="D86" s="26" t="s">
        <v>75</v>
      </c>
      <c r="E86" s="27"/>
      <c r="F86" s="17">
        <v>13</v>
      </c>
    </row>
    <row r="87" spans="1:6" x14ac:dyDescent="0.2">
      <c r="A87" s="12" t="s">
        <v>68</v>
      </c>
      <c r="B87" s="12">
        <f>B76</f>
        <v>0</v>
      </c>
      <c r="D87" s="26" t="s">
        <v>76</v>
      </c>
      <c r="E87" s="27"/>
      <c r="F87" s="17">
        <v>0</v>
      </c>
    </row>
    <row r="88" spans="1:6" x14ac:dyDescent="0.2">
      <c r="A88" s="13" t="s">
        <v>69</v>
      </c>
      <c r="B88" s="13">
        <f>SUM(B81:B87)</f>
        <v>33702</v>
      </c>
      <c r="D88" s="26" t="s">
        <v>77</v>
      </c>
      <c r="E88" s="27"/>
      <c r="F88" s="17">
        <v>6</v>
      </c>
    </row>
    <row r="89" spans="1:6" x14ac:dyDescent="0.2">
      <c r="D89" s="26" t="s">
        <v>78</v>
      </c>
      <c r="E89" s="27"/>
      <c r="F89" s="17">
        <v>0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36</v>
      </c>
    </row>
    <row r="91" spans="1:6" x14ac:dyDescent="0.2">
      <c r="A91" s="21" t="s">
        <v>7</v>
      </c>
      <c r="B91" s="21">
        <f>C4</f>
        <v>49885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6562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4797</v>
      </c>
      <c r="D93" s="26" t="s">
        <v>82</v>
      </c>
      <c r="E93" s="27"/>
      <c r="F93" s="17">
        <v>6</v>
      </c>
    </row>
    <row r="94" spans="1:6" x14ac:dyDescent="0.2">
      <c r="A94" s="21" t="s">
        <v>86</v>
      </c>
      <c r="B94" s="21">
        <f>C72</f>
        <v>4686</v>
      </c>
      <c r="D94" s="28" t="s">
        <v>83</v>
      </c>
      <c r="E94" s="29"/>
      <c r="F94" s="18">
        <f>SUM(F82:F93)</f>
        <v>69</v>
      </c>
    </row>
    <row r="95" spans="1:6" x14ac:dyDescent="0.2">
      <c r="A95" s="22" t="s">
        <v>87</v>
      </c>
      <c r="B95" s="22">
        <f>SUM(B91:B94)</f>
        <v>65930</v>
      </c>
    </row>
    <row r="97" spans="1:6" x14ac:dyDescent="0.2">
      <c r="C97" s="39" t="s">
        <v>112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746</v>
      </c>
      <c r="C100" s="3">
        <v>1</v>
      </c>
      <c r="D100" s="3">
        <v>739</v>
      </c>
      <c r="E100" s="3">
        <v>6</v>
      </c>
      <c r="F100" s="3">
        <f>SUM(B100:E100)*2</f>
        <v>2984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200</v>
      </c>
      <c r="C102" s="3">
        <v>168</v>
      </c>
      <c r="D102" s="3">
        <v>200</v>
      </c>
      <c r="E102" s="3">
        <v>50</v>
      </c>
      <c r="F102" s="3">
        <f>SUM(B102:E102)</f>
        <v>618</v>
      </c>
    </row>
    <row r="103" spans="1:6" x14ac:dyDescent="0.2">
      <c r="A103" s="3" t="s">
        <v>97</v>
      </c>
      <c r="B103" s="3">
        <v>74</v>
      </c>
      <c r="C103" s="3">
        <v>37</v>
      </c>
      <c r="D103" s="3"/>
      <c r="E103" s="3">
        <v>42</v>
      </c>
      <c r="F103" s="3">
        <f>SUM(B103:E103)*2</f>
        <v>306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1020</v>
      </c>
      <c r="C109" s="23">
        <f>SUM(C99:C108)</f>
        <v>206</v>
      </c>
      <c r="D109" s="23">
        <f>SUM(D99:D108)</f>
        <v>939</v>
      </c>
      <c r="E109" s="23">
        <f>SUM(E99:E108)</f>
        <v>98</v>
      </c>
      <c r="F109" s="23">
        <f>SUM(F100:F108)</f>
        <v>3908</v>
      </c>
    </row>
    <row r="110" spans="1:6" ht="15.75" x14ac:dyDescent="0.25">
      <c r="A110" s="3" t="s">
        <v>105</v>
      </c>
      <c r="B110" s="32">
        <f>SUM(B109:E109)</f>
        <v>2263</v>
      </c>
      <c r="C110" s="33"/>
      <c r="D110" s="33"/>
      <c r="E110" s="34"/>
    </row>
  </sheetData>
  <sheetProtection sheet="1" objects="1" scenarios="1"/>
  <mergeCells count="17">
    <mergeCell ref="D94:E94"/>
    <mergeCell ref="A98:F98"/>
    <mergeCell ref="B110:E110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0" workbookViewId="0">
      <selection activeCell="L108" sqref="L108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114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563+1443+2104</f>
        <v>4110</v>
      </c>
      <c r="C3" s="2">
        <v>25</v>
      </c>
      <c r="D3" s="2"/>
      <c r="E3" s="2"/>
      <c r="F3" s="2"/>
    </row>
    <row r="4" spans="1:6" x14ac:dyDescent="0.2">
      <c r="A4" s="2" t="s">
        <v>7</v>
      </c>
      <c r="B4" s="2"/>
      <c r="C4" s="2">
        <v>56700</v>
      </c>
      <c r="D4" s="2"/>
      <c r="E4" s="2"/>
      <c r="F4" s="2"/>
    </row>
    <row r="5" spans="1:6" x14ac:dyDescent="0.2">
      <c r="A5" s="2" t="s">
        <v>8</v>
      </c>
      <c r="B5" s="2">
        <v>5821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/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>
        <v>76</v>
      </c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14289</v>
      </c>
      <c r="E12" s="2"/>
      <c r="F12" s="2"/>
    </row>
    <row r="13" spans="1:6" x14ac:dyDescent="0.2">
      <c r="A13" s="2" t="s">
        <v>16</v>
      </c>
      <c r="B13" s="2"/>
      <c r="C13" s="2">
        <f>856+549</f>
        <v>1405</v>
      </c>
      <c r="D13" s="2"/>
      <c r="E13" s="2"/>
      <c r="F13" s="2"/>
    </row>
    <row r="14" spans="1:6" x14ac:dyDescent="0.2">
      <c r="A14" s="2" t="s">
        <v>17</v>
      </c>
      <c r="B14" s="2"/>
      <c r="C14" s="2">
        <f>24+477</f>
        <v>501</v>
      </c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/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>
        <v>2</v>
      </c>
      <c r="D22" s="2"/>
      <c r="E22" s="2"/>
      <c r="F22" s="2"/>
    </row>
    <row r="23" spans="1:6" x14ac:dyDescent="0.2">
      <c r="A23" s="2" t="s">
        <v>26</v>
      </c>
      <c r="B23" s="2"/>
      <c r="C23" s="2">
        <f>21+96</f>
        <v>117</v>
      </c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>
        <v>411</v>
      </c>
      <c r="C27" s="2">
        <f>200+137+75+50</f>
        <v>462</v>
      </c>
      <c r="D27" s="2"/>
      <c r="E27" s="2"/>
      <c r="F27" s="2"/>
    </row>
    <row r="28" spans="1:6" x14ac:dyDescent="0.2">
      <c r="A28" s="3" t="s">
        <v>30</v>
      </c>
      <c r="B28" s="3">
        <f>SUM(B3:B27)</f>
        <v>10342</v>
      </c>
      <c r="C28" s="3">
        <f>SUM(C3:C27)</f>
        <v>59288</v>
      </c>
      <c r="D28" s="3">
        <f>SUM(D3:D27)</f>
        <v>14289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4482</v>
      </c>
      <c r="C30" s="2"/>
      <c r="D30" s="2">
        <v>8466</v>
      </c>
      <c r="E30" s="2"/>
      <c r="F30" s="2"/>
    </row>
    <row r="31" spans="1:6" x14ac:dyDescent="0.2">
      <c r="A31" s="2" t="s">
        <v>32</v>
      </c>
      <c r="B31" s="2">
        <v>79</v>
      </c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2988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4481</v>
      </c>
      <c r="C34" s="2"/>
      <c r="D34" s="2">
        <v>127</v>
      </c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>
        <f>393+29</f>
        <v>422</v>
      </c>
      <c r="C36" s="2"/>
      <c r="D36" s="2">
        <v>25</v>
      </c>
      <c r="E36" s="2"/>
      <c r="F36" s="2"/>
    </row>
    <row r="37" spans="1:6" x14ac:dyDescent="0.2">
      <c r="A37" s="2" t="s">
        <v>36</v>
      </c>
      <c r="B37" s="2"/>
      <c r="C37" s="2">
        <v>25</v>
      </c>
      <c r="D37" s="2">
        <v>2191</v>
      </c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9464</v>
      </c>
      <c r="C40" s="3">
        <f>SUM(C30:C39)</f>
        <v>25</v>
      </c>
      <c r="D40" s="3">
        <f>SUM(D30:D39)</f>
        <v>10809</v>
      </c>
      <c r="E40" s="3">
        <f>SUM(E30:E39)</f>
        <v>0</v>
      </c>
      <c r="F40" s="3">
        <f>SUM(F30:F39)</f>
        <v>2988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25</v>
      </c>
      <c r="C43" s="2"/>
      <c r="D43" s="2"/>
      <c r="E43" s="2"/>
      <c r="F43" s="2"/>
    </row>
    <row r="44" spans="1:6" x14ac:dyDescent="0.2">
      <c r="A44" s="2" t="s">
        <v>40</v>
      </c>
      <c r="B44" s="2"/>
      <c r="C44" s="2"/>
      <c r="D44" s="2"/>
      <c r="E44" s="2"/>
      <c r="F44" s="2"/>
    </row>
    <row r="45" spans="1:6" x14ac:dyDescent="0.2">
      <c r="A45" s="2" t="s">
        <v>41</v>
      </c>
      <c r="B45" s="2">
        <v>21</v>
      </c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>
        <v>52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98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>
        <v>4118</v>
      </c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>
        <f>145+24+89+51</f>
        <v>309</v>
      </c>
      <c r="D75" s="2"/>
      <c r="E75" s="2"/>
      <c r="F75" s="2"/>
    </row>
    <row r="76" spans="1:6" x14ac:dyDescent="0.2">
      <c r="A76" s="3" t="s">
        <v>60</v>
      </c>
      <c r="B76" s="3">
        <f>SUM(B66:B75)</f>
        <v>0</v>
      </c>
      <c r="C76" s="3">
        <f>SUM(C66:C75)</f>
        <v>4427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19904</v>
      </c>
      <c r="C78" s="7">
        <f>SUM(C3:C77)/2</f>
        <v>63740</v>
      </c>
      <c r="D78" s="7">
        <f>SUM(D3:D77)/2</f>
        <v>25098</v>
      </c>
      <c r="E78" s="7">
        <f>SUM(E3:E77)/2</f>
        <v>0</v>
      </c>
      <c r="F78" s="7">
        <f>SUM(F3:F77)/2</f>
        <v>2988</v>
      </c>
    </row>
    <row r="79" spans="1:6" ht="24.95" customHeight="1" x14ac:dyDescent="0.2">
      <c r="A79" s="3" t="s">
        <v>62</v>
      </c>
      <c r="B79" s="24">
        <f>SUM(B78:F78)</f>
        <v>111730</v>
      </c>
      <c r="C79" s="25"/>
      <c r="D79" s="25"/>
      <c r="E79" s="25"/>
      <c r="F79" s="25"/>
    </row>
    <row r="80" spans="1:6" x14ac:dyDescent="0.2">
      <c r="A80" s="38" t="s">
        <v>116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10342</v>
      </c>
      <c r="D82" s="26" t="s">
        <v>71</v>
      </c>
      <c r="E82" s="27"/>
      <c r="F82" s="17">
        <v>2</v>
      </c>
    </row>
    <row r="83" spans="1:6" x14ac:dyDescent="0.2">
      <c r="A83" s="12" t="s">
        <v>64</v>
      </c>
      <c r="B83" s="12">
        <f>B40</f>
        <v>9464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2</v>
      </c>
    </row>
    <row r="86" spans="1:6" x14ac:dyDescent="0.2">
      <c r="A86" s="12" t="s">
        <v>67</v>
      </c>
      <c r="B86" s="12">
        <f>B51</f>
        <v>98</v>
      </c>
      <c r="D86" s="26" t="s">
        <v>75</v>
      </c>
      <c r="E86" s="27"/>
      <c r="F86" s="17">
        <v>9</v>
      </c>
    </row>
    <row r="87" spans="1:6" x14ac:dyDescent="0.2">
      <c r="A87" s="12" t="s">
        <v>68</v>
      </c>
      <c r="B87" s="12">
        <f>B76</f>
        <v>0</v>
      </c>
      <c r="D87" s="26" t="s">
        <v>76</v>
      </c>
      <c r="E87" s="27"/>
      <c r="F87" s="17">
        <v>6</v>
      </c>
    </row>
    <row r="88" spans="1:6" x14ac:dyDescent="0.2">
      <c r="A88" s="13" t="s">
        <v>69</v>
      </c>
      <c r="B88" s="13">
        <f>SUM(B81:B87)</f>
        <v>19904</v>
      </c>
      <c r="D88" s="26" t="s">
        <v>77</v>
      </c>
      <c r="E88" s="27"/>
      <c r="F88" s="17">
        <v>5</v>
      </c>
    </row>
    <row r="89" spans="1:6" x14ac:dyDescent="0.2">
      <c r="D89" s="26" t="s">
        <v>78</v>
      </c>
      <c r="E89" s="27"/>
      <c r="F89" s="17">
        <v>0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22</v>
      </c>
    </row>
    <row r="91" spans="1:6" x14ac:dyDescent="0.2">
      <c r="A91" s="21" t="s">
        <v>7</v>
      </c>
      <c r="B91" s="21">
        <f>C4</f>
        <v>56700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0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2922</v>
      </c>
      <c r="D93" s="26" t="s">
        <v>82</v>
      </c>
      <c r="E93" s="27"/>
      <c r="F93" s="17">
        <v>3</v>
      </c>
    </row>
    <row r="94" spans="1:6" x14ac:dyDescent="0.2">
      <c r="A94" s="21" t="s">
        <v>86</v>
      </c>
      <c r="B94" s="21">
        <f>C72</f>
        <v>4118</v>
      </c>
      <c r="D94" s="28" t="s">
        <v>83</v>
      </c>
      <c r="E94" s="29"/>
      <c r="F94" s="18">
        <f>SUM(F82:F93)</f>
        <v>51</v>
      </c>
    </row>
    <row r="95" spans="1:6" x14ac:dyDescent="0.2">
      <c r="A95" s="22" t="s">
        <v>87</v>
      </c>
      <c r="B95" s="22">
        <f>SUM(B91:B94)</f>
        <v>63740</v>
      </c>
    </row>
    <row r="97" spans="1:6" x14ac:dyDescent="0.2">
      <c r="C97" s="39" t="s">
        <v>115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348</v>
      </c>
      <c r="C100" s="3">
        <v>1</v>
      </c>
      <c r="D100" s="3">
        <v>802</v>
      </c>
      <c r="E100" s="3">
        <v>25</v>
      </c>
      <c r="F100" s="3">
        <f>SUM(B100:E100)*2</f>
        <v>2352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97</v>
      </c>
      <c r="B102" s="3">
        <v>41</v>
      </c>
      <c r="C102" s="3">
        <v>30</v>
      </c>
      <c r="D102" s="3">
        <v>50</v>
      </c>
      <c r="E102" s="3">
        <v>20</v>
      </c>
      <c r="F102" s="3">
        <f>SUM(B102:E102)*2</f>
        <v>282</v>
      </c>
    </row>
    <row r="103" spans="1:6" x14ac:dyDescent="0.2">
      <c r="A103" s="3" t="s">
        <v>98</v>
      </c>
      <c r="B103" s="3">
        <v>134</v>
      </c>
      <c r="C103" s="3">
        <v>102</v>
      </c>
      <c r="D103" s="3">
        <v>130</v>
      </c>
      <c r="E103" s="3">
        <v>2</v>
      </c>
      <c r="F103" s="3">
        <f>SUM(B103:E103)</f>
        <v>368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523</v>
      </c>
      <c r="C109" s="23">
        <f>SUM(C99:C108)</f>
        <v>133</v>
      </c>
      <c r="D109" s="23">
        <f>SUM(D99:D108)</f>
        <v>982</v>
      </c>
      <c r="E109" s="23">
        <f>SUM(E99:E108)</f>
        <v>47</v>
      </c>
      <c r="F109" s="23">
        <f>SUM(F100:F108)</f>
        <v>3002</v>
      </c>
    </row>
    <row r="110" spans="1:6" ht="15.75" x14ac:dyDescent="0.25">
      <c r="A110" s="3" t="s">
        <v>105</v>
      </c>
      <c r="B110" s="32">
        <f>SUM(B109:E109)</f>
        <v>1685</v>
      </c>
      <c r="C110" s="33"/>
      <c r="D110" s="33"/>
      <c r="E110" s="34"/>
    </row>
  </sheetData>
  <sheetProtection sheet="1" objects="1" scenarios="1"/>
  <mergeCells count="17">
    <mergeCell ref="B110:E110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pageSetup orientation="portrait" r:id="rId1"/>
  <ignoredErrors>
    <ignoredError sqref="F10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67" workbookViewId="0">
      <selection activeCell="O109" sqref="O109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117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196+1354+3213+528</f>
        <v>5291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104200</v>
      </c>
      <c r="D4" s="2"/>
      <c r="E4" s="2"/>
      <c r="F4" s="2"/>
    </row>
    <row r="5" spans="1:6" x14ac:dyDescent="0.2">
      <c r="A5" s="2" t="s">
        <v>8</v>
      </c>
      <c r="B5" s="2">
        <v>39583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/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>
        <v>51</v>
      </c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14916</v>
      </c>
      <c r="E12" s="2"/>
      <c r="F12" s="2"/>
    </row>
    <row r="13" spans="1:6" x14ac:dyDescent="0.2">
      <c r="A13" s="2" t="s">
        <v>16</v>
      </c>
      <c r="B13" s="2"/>
      <c r="C13" s="2"/>
      <c r="D13" s="2"/>
      <c r="E13" s="2"/>
      <c r="F13" s="2"/>
    </row>
    <row r="14" spans="1:6" x14ac:dyDescent="0.2">
      <c r="A14" s="2" t="s">
        <v>17</v>
      </c>
      <c r="B14" s="2"/>
      <c r="C14" s="2">
        <v>142</v>
      </c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>
        <v>108</v>
      </c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>
        <v>803</v>
      </c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117+120+25</f>
        <v>262</v>
      </c>
      <c r="D27" s="2"/>
      <c r="E27" s="2"/>
      <c r="F27" s="2"/>
    </row>
    <row r="28" spans="1:6" x14ac:dyDescent="0.2">
      <c r="A28" s="3" t="s">
        <v>30</v>
      </c>
      <c r="B28" s="3">
        <f>SUM(B3:B27)</f>
        <v>44874</v>
      </c>
      <c r="C28" s="3">
        <f>SUM(C3:C27)</f>
        <v>105566</v>
      </c>
      <c r="D28" s="3">
        <f>SUM(D3:D27)</f>
        <v>14916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6801</v>
      </c>
      <c r="C30" s="2"/>
      <c r="D30" s="2">
        <v>7068</v>
      </c>
      <c r="E30" s="2"/>
      <c r="F30" s="2"/>
    </row>
    <row r="31" spans="1:6" x14ac:dyDescent="0.2">
      <c r="A31" s="2" t="s">
        <v>32</v>
      </c>
      <c r="B31" s="2">
        <v>17</v>
      </c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3129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5820</v>
      </c>
      <c r="C34" s="2"/>
      <c r="D34" s="2">
        <v>689</v>
      </c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>
        <v>1546</v>
      </c>
      <c r="C36" s="2"/>
      <c r="D36" s="2">
        <v>2097</v>
      </c>
      <c r="E36" s="2"/>
      <c r="F36" s="2"/>
    </row>
    <row r="37" spans="1:6" x14ac:dyDescent="0.2">
      <c r="A37" s="2" t="s">
        <v>36</v>
      </c>
      <c r="B37" s="2">
        <v>110</v>
      </c>
      <c r="C37" s="2"/>
      <c r="D37" s="2">
        <v>1545</v>
      </c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14294</v>
      </c>
      <c r="C40" s="3">
        <f>SUM(C30:C39)</f>
        <v>0</v>
      </c>
      <c r="D40" s="3">
        <f>SUM(D30:D39)</f>
        <v>11399</v>
      </c>
      <c r="E40" s="3">
        <f>SUM(E30:E39)</f>
        <v>0</v>
      </c>
      <c r="F40" s="3">
        <f>SUM(F30:F39)</f>
        <v>3129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137</v>
      </c>
      <c r="C43" s="2"/>
      <c r="D43" s="2"/>
      <c r="E43" s="2"/>
      <c r="F43" s="2"/>
    </row>
    <row r="44" spans="1:6" x14ac:dyDescent="0.2">
      <c r="A44" s="2" t="s">
        <v>40</v>
      </c>
      <c r="B44" s="2">
        <v>50</v>
      </c>
      <c r="C44" s="2"/>
      <c r="D44" s="2"/>
      <c r="E44" s="2"/>
      <c r="F44" s="2"/>
    </row>
    <row r="45" spans="1:6" x14ac:dyDescent="0.2">
      <c r="A45" s="2" t="s">
        <v>41</v>
      </c>
      <c r="B45" s="2">
        <v>250</v>
      </c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>
        <v>69</v>
      </c>
      <c r="C47" s="2"/>
      <c r="D47" s="2"/>
      <c r="E47" s="2"/>
      <c r="F47" s="2"/>
    </row>
    <row r="48" spans="1:6" x14ac:dyDescent="0.2">
      <c r="A48" s="2" t="s">
        <v>44</v>
      </c>
      <c r="B48" s="2">
        <v>379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>
        <v>18</v>
      </c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903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>
        <v>17</v>
      </c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>
        <v>3728</v>
      </c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>
        <f>51+45</f>
        <v>96</v>
      </c>
      <c r="D75" s="2"/>
      <c r="E75" s="2"/>
      <c r="F75" s="2"/>
    </row>
    <row r="76" spans="1:6" x14ac:dyDescent="0.2">
      <c r="A76" s="3" t="s">
        <v>60</v>
      </c>
      <c r="B76" s="3">
        <f>SUM(B66:B75)</f>
        <v>17</v>
      </c>
      <c r="C76" s="3">
        <f>SUM(C66:C75)</f>
        <v>3824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60088</v>
      </c>
      <c r="C78" s="7">
        <f>SUM(C3:C77)/2</f>
        <v>109390</v>
      </c>
      <c r="D78" s="7">
        <f>SUM(D3:D77)/2</f>
        <v>26315</v>
      </c>
      <c r="E78" s="7">
        <f>SUM(E3:E77)/2</f>
        <v>0</v>
      </c>
      <c r="F78" s="7">
        <f>SUM(F3:F77)/2</f>
        <v>3129</v>
      </c>
    </row>
    <row r="79" spans="1:6" ht="24.95" customHeight="1" x14ac:dyDescent="0.2">
      <c r="A79" s="3" t="s">
        <v>62</v>
      </c>
      <c r="B79" s="24">
        <f>SUM(B78:F78)</f>
        <v>198922</v>
      </c>
      <c r="C79" s="25"/>
      <c r="D79" s="25"/>
      <c r="E79" s="25"/>
      <c r="F79" s="25"/>
    </row>
    <row r="80" spans="1:6" x14ac:dyDescent="0.2">
      <c r="A80" s="38" t="s">
        <v>118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44874</v>
      </c>
      <c r="D82" s="26" t="s">
        <v>71</v>
      </c>
      <c r="E82" s="27"/>
      <c r="F82" s="17">
        <v>2</v>
      </c>
    </row>
    <row r="83" spans="1:6" x14ac:dyDescent="0.2">
      <c r="A83" s="12" t="s">
        <v>64</v>
      </c>
      <c r="B83" s="12">
        <f>B40</f>
        <v>14294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3</v>
      </c>
    </row>
    <row r="86" spans="1:6" x14ac:dyDescent="0.2">
      <c r="A86" s="12" t="s">
        <v>67</v>
      </c>
      <c r="B86" s="12">
        <f>B51</f>
        <v>903</v>
      </c>
      <c r="D86" s="26" t="s">
        <v>75</v>
      </c>
      <c r="E86" s="27"/>
      <c r="F86" s="17">
        <v>1</v>
      </c>
    </row>
    <row r="87" spans="1:6" x14ac:dyDescent="0.2">
      <c r="A87" s="12" t="s">
        <v>68</v>
      </c>
      <c r="B87" s="12">
        <f>B76</f>
        <v>17</v>
      </c>
      <c r="D87" s="26" t="s">
        <v>76</v>
      </c>
      <c r="E87" s="27"/>
      <c r="F87" s="17">
        <v>30</v>
      </c>
    </row>
    <row r="88" spans="1:6" x14ac:dyDescent="0.2">
      <c r="A88" s="13" t="s">
        <v>69</v>
      </c>
      <c r="B88" s="13">
        <f>SUM(B81:B87)</f>
        <v>60088</v>
      </c>
      <c r="D88" s="26" t="s">
        <v>77</v>
      </c>
      <c r="E88" s="27"/>
      <c r="F88" s="17">
        <v>4</v>
      </c>
    </row>
    <row r="89" spans="1:6" x14ac:dyDescent="0.2">
      <c r="D89" s="26" t="s">
        <v>78</v>
      </c>
      <c r="E89" s="27"/>
      <c r="F89" s="17">
        <v>3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19</v>
      </c>
    </row>
    <row r="91" spans="1:6" x14ac:dyDescent="0.2">
      <c r="A91" s="21" t="s">
        <v>7</v>
      </c>
      <c r="B91" s="21">
        <f>C4</f>
        <v>104200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0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1462</v>
      </c>
      <c r="D93" s="26" t="s">
        <v>82</v>
      </c>
      <c r="E93" s="27"/>
      <c r="F93" s="17">
        <v>4</v>
      </c>
    </row>
    <row r="94" spans="1:6" x14ac:dyDescent="0.2">
      <c r="A94" s="21" t="s">
        <v>86</v>
      </c>
      <c r="B94" s="21">
        <f>C72</f>
        <v>3728</v>
      </c>
      <c r="D94" s="28" t="s">
        <v>83</v>
      </c>
      <c r="E94" s="29"/>
      <c r="F94" s="18">
        <f>SUM(F82:F93)</f>
        <v>68</v>
      </c>
    </row>
    <row r="95" spans="1:6" x14ac:dyDescent="0.2">
      <c r="A95" s="22" t="s">
        <v>87</v>
      </c>
      <c r="B95" s="22">
        <f>SUM(B91:B94)</f>
        <v>109390</v>
      </c>
    </row>
    <row r="97" spans="1:6" x14ac:dyDescent="0.2">
      <c r="C97" s="39" t="s">
        <v>117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532</v>
      </c>
      <c r="C100" s="3"/>
      <c r="D100" s="3">
        <v>120</v>
      </c>
      <c r="E100" s="3">
        <v>10</v>
      </c>
      <c r="F100" s="3">
        <f>SUM(B100:E100)*2</f>
        <v>1324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180</v>
      </c>
      <c r="C102" s="3">
        <v>43</v>
      </c>
      <c r="D102" s="3"/>
      <c r="E102" s="3">
        <v>7</v>
      </c>
      <c r="F102" s="3">
        <f>SUM(B102:E102)</f>
        <v>230</v>
      </c>
    </row>
    <row r="103" spans="1:6" x14ac:dyDescent="0.2">
      <c r="A103" s="3" t="s">
        <v>97</v>
      </c>
      <c r="B103" s="3">
        <v>62</v>
      </c>
      <c r="C103" s="3">
        <v>21</v>
      </c>
      <c r="D103" s="3"/>
      <c r="E103" s="3"/>
      <c r="F103" s="3">
        <f>SUM(B103:E103)*2</f>
        <v>166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774</v>
      </c>
      <c r="C109" s="23">
        <f>SUM(C99:C108)</f>
        <v>64</v>
      </c>
      <c r="D109" s="23">
        <f>SUM(D99:D108)</f>
        <v>120</v>
      </c>
      <c r="E109" s="23">
        <f>SUM(E99:E108)</f>
        <v>17</v>
      </c>
      <c r="F109" s="23">
        <f>SUM(F100:F108)</f>
        <v>1720</v>
      </c>
    </row>
    <row r="110" spans="1:6" ht="15.75" x14ac:dyDescent="0.25">
      <c r="A110" s="3" t="s">
        <v>105</v>
      </c>
      <c r="B110" s="32">
        <f>SUM(B109:E109)</f>
        <v>975</v>
      </c>
      <c r="C110" s="33"/>
      <c r="D110" s="33"/>
      <c r="E110" s="34"/>
    </row>
  </sheetData>
  <sheetProtection sheet="1" objects="1" scenarios="1"/>
  <mergeCells count="17">
    <mergeCell ref="A98:F98"/>
    <mergeCell ref="B110:E110"/>
    <mergeCell ref="D94:E94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ignoredErrors>
    <ignoredError sqref="F10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0" workbookViewId="0">
      <selection activeCell="F102" sqref="F102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119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374+1722+4043</f>
        <v>6139</v>
      </c>
      <c r="C3" s="2">
        <v>25</v>
      </c>
      <c r="D3" s="2"/>
      <c r="E3" s="2"/>
      <c r="F3" s="2"/>
    </row>
    <row r="4" spans="1:6" x14ac:dyDescent="0.2">
      <c r="A4" s="2" t="s">
        <v>7</v>
      </c>
      <c r="B4" s="2"/>
      <c r="C4" s="2">
        <v>47370</v>
      </c>
      <c r="D4" s="2"/>
      <c r="E4" s="2"/>
      <c r="F4" s="2"/>
    </row>
    <row r="5" spans="1:6" x14ac:dyDescent="0.2">
      <c r="A5" s="2" t="s">
        <v>8</v>
      </c>
      <c r="B5" s="2">
        <v>7770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>
        <v>998</v>
      </c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>
        <v>25</v>
      </c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13013</v>
      </c>
      <c r="E12" s="2"/>
      <c r="F12" s="2"/>
    </row>
    <row r="13" spans="1:6" x14ac:dyDescent="0.2">
      <c r="A13" s="2" t="s">
        <v>16</v>
      </c>
      <c r="B13" s="2"/>
      <c r="C13" s="2">
        <v>549</v>
      </c>
      <c r="D13" s="2"/>
      <c r="E13" s="2"/>
      <c r="F13" s="2"/>
    </row>
    <row r="14" spans="1:6" x14ac:dyDescent="0.2">
      <c r="A14" s="2" t="s">
        <v>17</v>
      </c>
      <c r="B14" s="2"/>
      <c r="C14" s="2">
        <v>163</v>
      </c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>
        <v>122</v>
      </c>
      <c r="D18" s="2"/>
      <c r="E18" s="2"/>
      <c r="F18" s="2"/>
    </row>
    <row r="19" spans="1:6" x14ac:dyDescent="0.2">
      <c r="A19" s="2" t="s">
        <v>22</v>
      </c>
      <c r="B19" s="2"/>
      <c r="C19" s="2">
        <v>196</v>
      </c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100+40+7+50+198</f>
        <v>395</v>
      </c>
      <c r="D27" s="2"/>
      <c r="E27" s="2"/>
      <c r="F27" s="2"/>
    </row>
    <row r="28" spans="1:6" x14ac:dyDescent="0.2">
      <c r="A28" s="3" t="s">
        <v>30</v>
      </c>
      <c r="B28" s="3">
        <f>SUM(B3:B27)</f>
        <v>13909</v>
      </c>
      <c r="C28" s="3">
        <f>SUM(C3:C27)</f>
        <v>49843</v>
      </c>
      <c r="D28" s="3">
        <f>SUM(D3:D27)</f>
        <v>13013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6163</v>
      </c>
      <c r="C30" s="2"/>
      <c r="D30" s="2">
        <v>8528</v>
      </c>
      <c r="E30" s="2"/>
      <c r="F30" s="2"/>
    </row>
    <row r="31" spans="1:6" x14ac:dyDescent="0.2">
      <c r="A31" s="2" t="s">
        <v>32</v>
      </c>
      <c r="B31" s="2">
        <v>15</v>
      </c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1971</v>
      </c>
    </row>
    <row r="33" spans="1:6" x14ac:dyDescent="0.2">
      <c r="A33" s="2" t="s">
        <v>17</v>
      </c>
      <c r="B33" s="2"/>
      <c r="C33" s="2">
        <v>160</v>
      </c>
      <c r="D33" s="2"/>
      <c r="E33" s="2"/>
      <c r="F33" s="2"/>
    </row>
    <row r="34" spans="1:6" x14ac:dyDescent="0.2">
      <c r="A34" s="2" t="s">
        <v>34</v>
      </c>
      <c r="B34" s="2">
        <v>3337</v>
      </c>
      <c r="C34" s="2"/>
      <c r="D34" s="2">
        <v>226</v>
      </c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>
        <f>2269+83</f>
        <v>2352</v>
      </c>
      <c r="C36" s="2"/>
      <c r="D36" s="2"/>
      <c r="E36" s="2"/>
      <c r="F36" s="2"/>
    </row>
    <row r="37" spans="1:6" x14ac:dyDescent="0.2">
      <c r="A37" s="2" t="s">
        <v>36</v>
      </c>
      <c r="B37" s="2">
        <f>22+26</f>
        <v>48</v>
      </c>
      <c r="C37" s="2"/>
      <c r="D37" s="2">
        <v>1640</v>
      </c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11915</v>
      </c>
      <c r="C40" s="3">
        <f>SUM(C30:C39)</f>
        <v>160</v>
      </c>
      <c r="D40" s="3">
        <f>SUM(D30:D39)</f>
        <v>10394</v>
      </c>
      <c r="E40" s="3">
        <f>SUM(E30:E39)</f>
        <v>0</v>
      </c>
      <c r="F40" s="3">
        <f>SUM(F30:F39)</f>
        <v>1971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87</v>
      </c>
      <c r="C43" s="2"/>
      <c r="D43" s="2"/>
      <c r="E43" s="2"/>
      <c r="F43" s="2"/>
    </row>
    <row r="44" spans="1:6" x14ac:dyDescent="0.2">
      <c r="A44" s="2" t="s">
        <v>40</v>
      </c>
      <c r="B44" s="2">
        <v>25</v>
      </c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/>
      <c r="C47" s="2"/>
      <c r="D47" s="2"/>
      <c r="E47" s="2"/>
      <c r="F47" s="2"/>
    </row>
    <row r="48" spans="1:6" x14ac:dyDescent="0.2">
      <c r="A48" s="2" t="s">
        <v>44</v>
      </c>
      <c r="B48" s="2">
        <v>218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>
        <v>18</v>
      </c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348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>
        <v>2</v>
      </c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/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>
        <v>205</v>
      </c>
      <c r="C75" s="2">
        <v>1429</v>
      </c>
      <c r="D75" s="2"/>
      <c r="E75" s="2"/>
      <c r="F75" s="2"/>
    </row>
    <row r="76" spans="1:6" x14ac:dyDescent="0.2">
      <c r="A76" s="3" t="s">
        <v>60</v>
      </c>
      <c r="B76" s="3">
        <f>SUM(B66:B75)</f>
        <v>205</v>
      </c>
      <c r="C76" s="3">
        <f>SUM(C66:C75)</f>
        <v>1431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26377</v>
      </c>
      <c r="C78" s="7">
        <f>SUM(C3:C77)/2</f>
        <v>51434</v>
      </c>
      <c r="D78" s="7">
        <f>SUM(D3:D77)/2</f>
        <v>23407</v>
      </c>
      <c r="E78" s="7">
        <f>SUM(E3:E77)/2</f>
        <v>0</v>
      </c>
      <c r="F78" s="7">
        <f>SUM(F3:F77)/2</f>
        <v>1971</v>
      </c>
    </row>
    <row r="79" spans="1:6" ht="24.95" customHeight="1" x14ac:dyDescent="0.2">
      <c r="A79" s="3" t="s">
        <v>62</v>
      </c>
      <c r="B79" s="24">
        <f>SUM(B78:F78)</f>
        <v>103189</v>
      </c>
      <c r="C79" s="25"/>
      <c r="D79" s="25"/>
      <c r="E79" s="25"/>
      <c r="F79" s="25"/>
    </row>
    <row r="80" spans="1:6" x14ac:dyDescent="0.2">
      <c r="A80" s="38" t="s">
        <v>120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13909</v>
      </c>
      <c r="D82" s="26" t="s">
        <v>71</v>
      </c>
      <c r="E82" s="27"/>
      <c r="F82" s="17">
        <v>2</v>
      </c>
    </row>
    <row r="83" spans="1:6" x14ac:dyDescent="0.2">
      <c r="A83" s="12" t="s">
        <v>64</v>
      </c>
      <c r="B83" s="12">
        <f>B40</f>
        <v>11915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2</v>
      </c>
    </row>
    <row r="86" spans="1:6" x14ac:dyDescent="0.2">
      <c r="A86" s="12" t="s">
        <v>67</v>
      </c>
      <c r="B86" s="12">
        <f>B51</f>
        <v>348</v>
      </c>
      <c r="D86" s="26" t="s">
        <v>75</v>
      </c>
      <c r="E86" s="27"/>
      <c r="F86" s="17">
        <v>0</v>
      </c>
    </row>
    <row r="87" spans="1:6" x14ac:dyDescent="0.2">
      <c r="A87" s="12" t="s">
        <v>68</v>
      </c>
      <c r="B87" s="12">
        <f>B76</f>
        <v>205</v>
      </c>
      <c r="D87" s="26" t="s">
        <v>76</v>
      </c>
      <c r="E87" s="27"/>
      <c r="F87" s="17">
        <v>8</v>
      </c>
    </row>
    <row r="88" spans="1:6" x14ac:dyDescent="0.2">
      <c r="A88" s="13" t="s">
        <v>69</v>
      </c>
      <c r="B88" s="13">
        <f>SUM(B81:B87)</f>
        <v>26377</v>
      </c>
      <c r="D88" s="26" t="s">
        <v>77</v>
      </c>
      <c r="E88" s="27"/>
      <c r="F88" s="17">
        <v>3</v>
      </c>
    </row>
    <row r="89" spans="1:6" x14ac:dyDescent="0.2">
      <c r="D89" s="26" t="s">
        <v>78</v>
      </c>
      <c r="E89" s="27"/>
      <c r="F89" s="17">
        <v>3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17</v>
      </c>
    </row>
    <row r="91" spans="1:6" x14ac:dyDescent="0.2">
      <c r="A91" s="21" t="s">
        <v>7</v>
      </c>
      <c r="B91" s="21">
        <f>C4</f>
        <v>47370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998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C78-C4-C8-C73</f>
        <v>3066</v>
      </c>
      <c r="D93" s="26" t="s">
        <v>82</v>
      </c>
      <c r="E93" s="27"/>
      <c r="F93" s="17">
        <v>6</v>
      </c>
    </row>
    <row r="94" spans="1:6" x14ac:dyDescent="0.2">
      <c r="A94" s="21" t="s">
        <v>86</v>
      </c>
      <c r="B94" s="21">
        <f>C72</f>
        <v>0</v>
      </c>
      <c r="D94" s="28" t="s">
        <v>83</v>
      </c>
      <c r="E94" s="29"/>
      <c r="F94" s="18">
        <f>SUM(F82:F93)</f>
        <v>43</v>
      </c>
    </row>
    <row r="95" spans="1:6" x14ac:dyDescent="0.2">
      <c r="A95" s="22" t="s">
        <v>87</v>
      </c>
      <c r="B95" s="22">
        <f>SUM(B91:B94)</f>
        <v>51434</v>
      </c>
    </row>
    <row r="97" spans="1:6" x14ac:dyDescent="0.2">
      <c r="C97" s="39" t="s">
        <v>119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437</v>
      </c>
      <c r="C100" s="3"/>
      <c r="D100" s="3">
        <v>290</v>
      </c>
      <c r="E100" s="3">
        <v>41</v>
      </c>
      <c r="F100" s="3">
        <f>SUM(B100:E100)*2</f>
        <v>1536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76" t="s">
        <v>98</v>
      </c>
      <c r="B102" s="3">
        <v>219</v>
      </c>
      <c r="C102" s="3">
        <v>120</v>
      </c>
      <c r="D102" s="3">
        <v>200</v>
      </c>
      <c r="E102" s="3">
        <v>25</v>
      </c>
      <c r="F102" s="3">
        <f>SUM(B102:E102)</f>
        <v>564</v>
      </c>
    </row>
    <row r="103" spans="1:6" x14ac:dyDescent="0.2">
      <c r="A103" s="3" t="s">
        <v>97</v>
      </c>
      <c r="B103" s="3">
        <v>38</v>
      </c>
      <c r="C103" s="3">
        <v>48</v>
      </c>
      <c r="D103" s="3"/>
      <c r="E103" s="3">
        <v>52</v>
      </c>
      <c r="F103" s="3">
        <f>SUM(B103:E103)*2</f>
        <v>276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694</v>
      </c>
      <c r="C109" s="23">
        <f>SUM(C99:C108)</f>
        <v>168</v>
      </c>
      <c r="D109" s="23">
        <f>SUM(D99:D108)</f>
        <v>490</v>
      </c>
      <c r="E109" s="23">
        <f>SUM(E99:E108)</f>
        <v>118</v>
      </c>
      <c r="F109" s="23">
        <f>SUM(F100:F108)</f>
        <v>2376</v>
      </c>
    </row>
    <row r="110" spans="1:6" ht="15.75" x14ac:dyDescent="0.25">
      <c r="A110" s="3" t="s">
        <v>105</v>
      </c>
      <c r="B110" s="32">
        <f>SUM(B109:E109)</f>
        <v>1470</v>
      </c>
      <c r="C110" s="33"/>
      <c r="D110" s="33"/>
      <c r="E110" s="34"/>
    </row>
  </sheetData>
  <sheetProtection sheet="1" objects="1" scenarios="1"/>
  <mergeCells count="17">
    <mergeCell ref="B110:E110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ignoredErrors>
    <ignoredError sqref="F10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64" workbookViewId="0">
      <selection activeCell="C78" sqref="C78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121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704+853+4050</f>
        <v>5607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113400</v>
      </c>
      <c r="D4" s="2"/>
      <c r="E4" s="2"/>
      <c r="F4" s="2"/>
    </row>
    <row r="5" spans="1:6" x14ac:dyDescent="0.2">
      <c r="A5" s="2" t="s">
        <v>8</v>
      </c>
      <c r="B5" s="2">
        <v>22761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>
        <v>2966</v>
      </c>
      <c r="D8" s="2"/>
      <c r="E8" s="2"/>
      <c r="F8" s="2"/>
    </row>
    <row r="9" spans="1:6" x14ac:dyDescent="0.2">
      <c r="A9" s="2" t="s">
        <v>12</v>
      </c>
      <c r="B9" s="2"/>
      <c r="C9" s="2"/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>
        <v>51</v>
      </c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13993</v>
      </c>
      <c r="E12" s="2"/>
      <c r="F12" s="2"/>
    </row>
    <row r="13" spans="1:6" x14ac:dyDescent="0.2">
      <c r="A13" s="2" t="s">
        <v>16</v>
      </c>
      <c r="B13" s="2"/>
      <c r="C13" s="2">
        <v>549</v>
      </c>
      <c r="D13" s="2"/>
      <c r="E13" s="2"/>
      <c r="F13" s="2"/>
    </row>
    <row r="14" spans="1:6" x14ac:dyDescent="0.2">
      <c r="A14" s="2" t="s">
        <v>17</v>
      </c>
      <c r="B14" s="2"/>
      <c r="C14" s="2">
        <f>1324+907</f>
        <v>2231</v>
      </c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>
        <v>81</v>
      </c>
      <c r="D17" s="2"/>
      <c r="E17" s="2"/>
      <c r="F17" s="2"/>
    </row>
    <row r="18" spans="1:6" x14ac:dyDescent="0.2">
      <c r="A18" s="2" t="s">
        <v>21</v>
      </c>
      <c r="B18" s="2"/>
      <c r="C18" s="2">
        <v>4</v>
      </c>
      <c r="D18" s="2"/>
      <c r="E18" s="2"/>
      <c r="F18" s="2"/>
    </row>
    <row r="19" spans="1:6" x14ac:dyDescent="0.2">
      <c r="A19" s="2" t="s">
        <v>22</v>
      </c>
      <c r="B19" s="2"/>
      <c r="C19" s="2"/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/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>
        <v>858</v>
      </c>
      <c r="C27" s="2">
        <f>24+375+22+715+213+212+25+271</f>
        <v>1857</v>
      </c>
      <c r="D27" s="2"/>
      <c r="E27" s="2"/>
      <c r="F27" s="2"/>
    </row>
    <row r="28" spans="1:6" x14ac:dyDescent="0.2">
      <c r="A28" s="3" t="s">
        <v>30</v>
      </c>
      <c r="B28" s="3">
        <f>SUM(B3:B27)</f>
        <v>29226</v>
      </c>
      <c r="C28" s="3">
        <f>SUM(C3:C27)</f>
        <v>121139</v>
      </c>
      <c r="D28" s="3">
        <f>SUM(D3:D27)</f>
        <v>13993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4589</v>
      </c>
      <c r="C30" s="2"/>
      <c r="D30" s="2">
        <v>743</v>
      </c>
      <c r="E30" s="2"/>
      <c r="F30" s="2"/>
    </row>
    <row r="31" spans="1:6" x14ac:dyDescent="0.2">
      <c r="A31" s="2" t="s">
        <v>32</v>
      </c>
      <c r="B31" s="2">
        <v>18</v>
      </c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460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4203</v>
      </c>
      <c r="C34" s="2"/>
      <c r="D34" s="2"/>
      <c r="E34" s="2"/>
      <c r="F34" s="2"/>
    </row>
    <row r="35" spans="1:6" x14ac:dyDescent="0.2">
      <c r="A35" s="2" t="s">
        <v>22</v>
      </c>
      <c r="B35" s="2"/>
      <c r="C35" s="2"/>
      <c r="D35" s="2"/>
      <c r="E35" s="2"/>
      <c r="F35" s="2"/>
    </row>
    <row r="36" spans="1:6" x14ac:dyDescent="0.2">
      <c r="A36" s="2" t="s">
        <v>35</v>
      </c>
      <c r="B36" s="2">
        <f>1796+56+29</f>
        <v>1881</v>
      </c>
      <c r="C36" s="2"/>
      <c r="D36" s="2">
        <v>752</v>
      </c>
      <c r="E36" s="2"/>
      <c r="F36" s="2"/>
    </row>
    <row r="37" spans="1:6" x14ac:dyDescent="0.2">
      <c r="A37" s="2" t="s">
        <v>36</v>
      </c>
      <c r="B37" s="2">
        <v>22</v>
      </c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>
        <f>79+23+3</f>
        <v>105</v>
      </c>
      <c r="D39" s="2"/>
      <c r="E39" s="2"/>
      <c r="F39" s="2"/>
    </row>
    <row r="40" spans="1:6" x14ac:dyDescent="0.2">
      <c r="A40" s="3" t="s">
        <v>37</v>
      </c>
      <c r="B40" s="3">
        <f>SUM(B30:B39)</f>
        <v>10713</v>
      </c>
      <c r="C40" s="3">
        <f>SUM(C30:C39)</f>
        <v>105</v>
      </c>
      <c r="D40" s="3">
        <f>SUM(D30:D39)</f>
        <v>1495</v>
      </c>
      <c r="E40" s="3">
        <f>SUM(E30:E39)</f>
        <v>0</v>
      </c>
      <c r="F40" s="3">
        <f>SUM(F30:F39)</f>
        <v>460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154</v>
      </c>
      <c r="C43" s="2"/>
      <c r="D43" s="2"/>
      <c r="E43" s="2"/>
      <c r="F43" s="2"/>
    </row>
    <row r="44" spans="1:6" x14ac:dyDescent="0.2">
      <c r="A44" s="2" t="s">
        <v>40</v>
      </c>
      <c r="B44" s="2">
        <v>25</v>
      </c>
      <c r="C44" s="2"/>
      <c r="D44" s="2"/>
      <c r="E44" s="2"/>
      <c r="F44" s="2"/>
    </row>
    <row r="45" spans="1:6" x14ac:dyDescent="0.2">
      <c r="A45" s="2" t="s">
        <v>41</v>
      </c>
      <c r="B45" s="2">
        <v>40</v>
      </c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>
        <v>14</v>
      </c>
      <c r="C47" s="2"/>
      <c r="D47" s="2"/>
      <c r="E47" s="2"/>
      <c r="F47" s="2"/>
    </row>
    <row r="48" spans="1:6" x14ac:dyDescent="0.2">
      <c r="A48" s="2" t="s">
        <v>44</v>
      </c>
      <c r="B48" s="2">
        <v>113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>
        <v>78</v>
      </c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424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/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>
        <f>4+924</f>
        <v>928</v>
      </c>
      <c r="C75" s="2">
        <f>628+506+276+191+98+51+41+227+21</f>
        <v>2039</v>
      </c>
      <c r="D75" s="2"/>
      <c r="E75" s="2"/>
      <c r="F75" s="2"/>
    </row>
    <row r="76" spans="1:6" x14ac:dyDescent="0.2">
      <c r="A76" s="3" t="s">
        <v>60</v>
      </c>
      <c r="B76" s="3">
        <f>SUM(B66:B75)</f>
        <v>928</v>
      </c>
      <c r="C76" s="3">
        <f>SUM(C66:C75)</f>
        <v>2039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41291</v>
      </c>
      <c r="C78" s="7">
        <f>SUM(C3:C77)/2</f>
        <v>123283</v>
      </c>
      <c r="D78" s="7">
        <f>SUM(D3:D77)/2</f>
        <v>15488</v>
      </c>
      <c r="E78" s="7">
        <f>SUM(E3:E77)/2</f>
        <v>0</v>
      </c>
      <c r="F78" s="7">
        <f>SUM(F3:F77)/2</f>
        <v>460</v>
      </c>
    </row>
    <row r="79" spans="1:6" ht="24.95" customHeight="1" x14ac:dyDescent="0.2">
      <c r="A79" s="3" t="s">
        <v>62</v>
      </c>
      <c r="B79" s="24">
        <f>SUM(B78:F78)</f>
        <v>180522</v>
      </c>
      <c r="C79" s="25"/>
      <c r="D79" s="25"/>
      <c r="E79" s="25"/>
      <c r="F79" s="25"/>
    </row>
    <row r="80" spans="1:6" x14ac:dyDescent="0.2">
      <c r="A80" s="38" t="s">
        <v>122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29226</v>
      </c>
      <c r="D82" s="26" t="s">
        <v>71</v>
      </c>
      <c r="E82" s="27"/>
      <c r="F82" s="17">
        <v>0</v>
      </c>
    </row>
    <row r="83" spans="1:6" x14ac:dyDescent="0.2">
      <c r="A83" s="12" t="s">
        <v>64</v>
      </c>
      <c r="B83" s="12">
        <f>B40</f>
        <v>10713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5</v>
      </c>
    </row>
    <row r="86" spans="1:6" x14ac:dyDescent="0.2">
      <c r="A86" s="12" t="s">
        <v>67</v>
      </c>
      <c r="B86" s="12">
        <f>B51</f>
        <v>424</v>
      </c>
      <c r="D86" s="26" t="s">
        <v>75</v>
      </c>
      <c r="E86" s="27"/>
      <c r="F86" s="17">
        <v>0</v>
      </c>
    </row>
    <row r="87" spans="1:6" x14ac:dyDescent="0.2">
      <c r="A87" s="12" t="s">
        <v>68</v>
      </c>
      <c r="B87" s="12">
        <f>B76</f>
        <v>928</v>
      </c>
      <c r="D87" s="26" t="s">
        <v>76</v>
      </c>
      <c r="E87" s="27"/>
      <c r="F87" s="17">
        <v>5</v>
      </c>
    </row>
    <row r="88" spans="1:6" x14ac:dyDescent="0.2">
      <c r="A88" s="13" t="s">
        <v>69</v>
      </c>
      <c r="B88" s="13">
        <f>SUM(B81:B87)</f>
        <v>41291</v>
      </c>
      <c r="D88" s="26" t="s">
        <v>77</v>
      </c>
      <c r="E88" s="27"/>
      <c r="F88" s="17">
        <v>1</v>
      </c>
    </row>
    <row r="89" spans="1:6" x14ac:dyDescent="0.2">
      <c r="D89" s="26" t="s">
        <v>78</v>
      </c>
      <c r="E89" s="27"/>
      <c r="F89" s="17">
        <v>4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7</v>
      </c>
    </row>
    <row r="91" spans="1:6" x14ac:dyDescent="0.2">
      <c r="A91" s="21" t="s">
        <v>7</v>
      </c>
      <c r="B91" s="21">
        <f>C4</f>
        <v>113400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2966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6917</v>
      </c>
      <c r="D93" s="26" t="s">
        <v>82</v>
      </c>
      <c r="E93" s="27"/>
      <c r="F93" s="17">
        <v>7</v>
      </c>
    </row>
    <row r="94" spans="1:6" x14ac:dyDescent="0.2">
      <c r="A94" s="21" t="s">
        <v>86</v>
      </c>
      <c r="B94" s="21">
        <f>C72</f>
        <v>0</v>
      </c>
      <c r="D94" s="28" t="s">
        <v>83</v>
      </c>
      <c r="E94" s="29"/>
      <c r="F94" s="18">
        <f>SUM(F82:F93)</f>
        <v>31</v>
      </c>
    </row>
    <row r="95" spans="1:6" x14ac:dyDescent="0.2">
      <c r="A95" s="22" t="s">
        <v>87</v>
      </c>
      <c r="B95" s="22">
        <f>SUM(B91:B94)</f>
        <v>123283</v>
      </c>
    </row>
    <row r="97" spans="1:6" x14ac:dyDescent="0.2">
      <c r="C97" s="39" t="s">
        <v>121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401</v>
      </c>
      <c r="C100" s="3"/>
      <c r="D100" s="3">
        <v>615</v>
      </c>
      <c r="E100" s="3">
        <v>11</v>
      </c>
      <c r="F100" s="3">
        <f>SUM(B100:E100)*2</f>
        <v>2054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97</v>
      </c>
      <c r="B102" s="3">
        <v>15</v>
      </c>
      <c r="C102" s="3">
        <v>166</v>
      </c>
      <c r="D102" s="3">
        <v>50</v>
      </c>
      <c r="E102" s="3">
        <v>160</v>
      </c>
      <c r="F102" s="3">
        <f>SUM(B102:E102)*2</f>
        <v>782</v>
      </c>
    </row>
    <row r="103" spans="1:6" x14ac:dyDescent="0.2">
      <c r="A103" s="3" t="s">
        <v>98</v>
      </c>
      <c r="B103" s="3">
        <v>257</v>
      </c>
      <c r="C103" s="3">
        <v>307</v>
      </c>
      <c r="D103" s="3">
        <v>50</v>
      </c>
      <c r="E103" s="3">
        <v>81</v>
      </c>
      <c r="F103" s="3">
        <f>SUM(B103:E103)</f>
        <v>695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673</v>
      </c>
      <c r="C109" s="23">
        <f>SUM(C99:C108)</f>
        <v>473</v>
      </c>
      <c r="D109" s="23">
        <f>SUM(D99:D108)</f>
        <v>715</v>
      </c>
      <c r="E109" s="23">
        <f>SUM(E99:E108)</f>
        <v>252</v>
      </c>
      <c r="F109" s="23">
        <f>SUM(F100:F108)</f>
        <v>3531</v>
      </c>
    </row>
    <row r="110" spans="1:6" ht="15.75" x14ac:dyDescent="0.25">
      <c r="A110" s="3" t="s">
        <v>105</v>
      </c>
      <c r="B110" s="32">
        <f>SUM(B109:E109)</f>
        <v>2113</v>
      </c>
      <c r="C110" s="33"/>
      <c r="D110" s="33"/>
      <c r="E110" s="34"/>
    </row>
  </sheetData>
  <sheetProtection sheet="1" objects="1" scenarios="1"/>
  <mergeCells count="17">
    <mergeCell ref="A98:F98"/>
    <mergeCell ref="B110:E110"/>
    <mergeCell ref="D94:E94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ignoredErrors>
    <ignoredError sqref="F10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activeCell="H90" sqref="H90"/>
    </sheetView>
  </sheetViews>
  <sheetFormatPr baseColWidth="10" defaultRowHeight="12.75" x14ac:dyDescent="0.2"/>
  <cols>
    <col min="1" max="1" width="45.5703125" bestFit="1" customWidth="1"/>
    <col min="2" max="2" width="15.5703125" bestFit="1" customWidth="1"/>
    <col min="3" max="3" width="15.28515625" bestFit="1" customWidth="1"/>
    <col min="4" max="4" width="20.5703125" bestFit="1" customWidth="1"/>
    <col min="5" max="5" width="19.85546875" bestFit="1" customWidth="1"/>
    <col min="6" max="6" width="18.85546875" bestFit="1" customWidth="1"/>
  </cols>
  <sheetData>
    <row r="1" spans="1:6" ht="18" x14ac:dyDescent="0.25">
      <c r="A1" s="41" t="s">
        <v>126</v>
      </c>
      <c r="B1" s="42"/>
      <c r="C1" s="42"/>
      <c r="D1" s="42"/>
      <c r="E1" s="42"/>
      <c r="F1" s="43"/>
    </row>
    <row r="2" spans="1:6" x14ac:dyDescent="0.2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</row>
    <row r="3" spans="1:6" x14ac:dyDescent="0.2">
      <c r="A3" s="45" t="str">
        <f>Enero!A3</f>
        <v>ALAMBRON ALUMINIO</v>
      </c>
      <c r="B3" s="45">
        <f>Enero!B3+Febrero!B3+Marzo!B3+Abril!B3+Mayo!B3+Junio!B3</f>
        <v>33997</v>
      </c>
      <c r="C3" s="45">
        <f>Enero!C3+Febrero!C3+Marzo!C3+Abril!C3+Mayo!C3+Junio!C3</f>
        <v>50</v>
      </c>
      <c r="D3" s="45">
        <f>Enero!D3+Febrero!D3+Marzo!D3+Abril!D3+Mayo!D3+Junio!D3</f>
        <v>0</v>
      </c>
      <c r="E3" s="45">
        <f>Enero!E3+Febrero!E3+Marzo!E3+Abril!E3+Mayo!E3+Junio!E3</f>
        <v>0</v>
      </c>
      <c r="F3" s="45">
        <f>Enero!F3+Febrero!F3+Marzo!F3+Abril!F3+Mayo!F3+Junio!F3</f>
        <v>0</v>
      </c>
    </row>
    <row r="4" spans="1:6" x14ac:dyDescent="0.2">
      <c r="A4" s="45" t="str">
        <f>Enero!A4</f>
        <v>ALUMINA</v>
      </c>
      <c r="B4" s="45">
        <f>Enero!B4+Febrero!B4+Marzo!B4+Abril!B4+Mayo!B4+Junio!B4</f>
        <v>0</v>
      </c>
      <c r="C4" s="45">
        <f>Enero!C4+Febrero!C4+Marzo!C4+Abril!C4+Mayo!C4+Junio!C4</f>
        <v>418255</v>
      </c>
      <c r="D4" s="45">
        <f>Enero!D4+Febrero!D4+Marzo!D4+Abril!D4+Mayo!D4+Junio!D4</f>
        <v>0</v>
      </c>
      <c r="E4" s="45">
        <f>Enero!E4+Febrero!E4+Marzo!E4+Abril!E4+Mayo!E4+Junio!E4</f>
        <v>0</v>
      </c>
      <c r="F4" s="45">
        <f>Enero!F4+Febrero!F4+Marzo!F4+Abril!F4+Mayo!F4+Junio!F4</f>
        <v>0</v>
      </c>
    </row>
    <row r="5" spans="1:6" x14ac:dyDescent="0.2">
      <c r="A5" s="45" t="str">
        <f>Enero!A5</f>
        <v>ALUMINIO</v>
      </c>
      <c r="B5" s="45">
        <f>Enero!B5+Febrero!B5+Marzo!B5+Abril!B5+Mayo!B5+Junio!B5</f>
        <v>113909</v>
      </c>
      <c r="C5" s="45">
        <f>Enero!C5+Febrero!C5+Marzo!C5+Abril!C5+Mayo!C5+Junio!C5</f>
        <v>0</v>
      </c>
      <c r="D5" s="45">
        <f>Enero!D5+Febrero!D5+Marzo!D5+Abril!D5+Mayo!D5+Junio!D5</f>
        <v>0</v>
      </c>
      <c r="E5" s="45">
        <f>Enero!E5+Febrero!E5+Marzo!E5+Abril!E5+Mayo!E5+Junio!E5</f>
        <v>0</v>
      </c>
      <c r="F5" s="45">
        <f>Enero!F5+Febrero!F5+Marzo!F5+Abril!F5+Mayo!F5+Junio!F5</f>
        <v>0</v>
      </c>
    </row>
    <row r="6" spans="1:6" x14ac:dyDescent="0.2">
      <c r="A6" s="45" t="str">
        <f>Enero!A6</f>
        <v>BAÑO  CRIOLITICO</v>
      </c>
      <c r="B6" s="45">
        <f>Enero!B6+Febrero!B6+Marzo!B6+Abril!B6+Mayo!B6+Junio!B6</f>
        <v>0</v>
      </c>
      <c r="C6" s="45">
        <f>Enero!C6+Febrero!C6+Marzo!C6+Abril!C6+Mayo!C6+Junio!C6</f>
        <v>0</v>
      </c>
      <c r="D6" s="45">
        <f>Enero!D6+Febrero!D6+Marzo!D6+Abril!D6+Mayo!D6+Junio!D6</f>
        <v>0</v>
      </c>
      <c r="E6" s="45">
        <f>Enero!E6+Febrero!E6+Marzo!E6+Abril!E6+Mayo!E6+Junio!E6</f>
        <v>0</v>
      </c>
      <c r="F6" s="45">
        <f>Enero!F6+Febrero!F6+Marzo!F6+Abril!F6+Mayo!F6+Junio!F6</f>
        <v>0</v>
      </c>
    </row>
    <row r="7" spans="1:6" x14ac:dyDescent="0.2">
      <c r="A7" s="45" t="str">
        <f>Enero!A7</f>
        <v>BLOQUES CATODICOS</v>
      </c>
      <c r="B7" s="45">
        <f>Enero!B7+Febrero!B7+Marzo!B7+Abril!B7+Mayo!B7+Junio!B7</f>
        <v>0</v>
      </c>
      <c r="C7" s="45">
        <f>Enero!C7+Febrero!C7+Marzo!C7+Abril!C7+Mayo!C7+Junio!C7</f>
        <v>143</v>
      </c>
      <c r="D7" s="45">
        <f>Enero!D7+Febrero!D7+Marzo!D7+Abril!D7+Mayo!D7+Junio!D7</f>
        <v>0</v>
      </c>
      <c r="E7" s="45">
        <f>Enero!E7+Febrero!E7+Marzo!E7+Abril!E7+Mayo!E7+Junio!E7</f>
        <v>0</v>
      </c>
      <c r="F7" s="45">
        <f>Enero!F7+Febrero!F7+Marzo!F7+Abril!F7+Mayo!F7+Junio!F7</f>
        <v>0</v>
      </c>
    </row>
    <row r="8" spans="1:6" x14ac:dyDescent="0.2">
      <c r="A8" s="45" t="str">
        <f>Enero!A8</f>
        <v>BREA</v>
      </c>
      <c r="B8" s="45">
        <f>Enero!B8+Febrero!B8+Marzo!B8+Abril!B8+Mayo!B8+Junio!B8</f>
        <v>0</v>
      </c>
      <c r="C8" s="45">
        <f>Enero!C8+Febrero!C8+Marzo!C8+Abril!C8+Mayo!C8+Junio!C8</f>
        <v>12008</v>
      </c>
      <c r="D8" s="45">
        <f>Enero!D8+Febrero!D8+Marzo!D8+Abril!D8+Mayo!D8+Junio!D8</f>
        <v>0</v>
      </c>
      <c r="E8" s="45">
        <f>Enero!E8+Febrero!E8+Marzo!E8+Abril!E8+Mayo!E8+Junio!E8</f>
        <v>0</v>
      </c>
      <c r="F8" s="45">
        <f>Enero!F8+Febrero!F8+Marzo!F8+Abril!F8+Mayo!F8+Junio!F8</f>
        <v>0</v>
      </c>
    </row>
    <row r="9" spans="1:6" x14ac:dyDescent="0.2">
      <c r="A9" s="45" t="str">
        <f>Enero!A9</f>
        <v>BRIQUETA</v>
      </c>
      <c r="B9" s="45">
        <f>Enero!B9+Febrero!B9+Marzo!B9+Abril!B9+Mayo!B9+Junio!B9</f>
        <v>0</v>
      </c>
      <c r="C9" s="45">
        <f>Enero!C9+Febrero!C9+Marzo!C9+Abril!C9+Mayo!C9+Junio!C9</f>
        <v>0</v>
      </c>
      <c r="D9" s="45">
        <f>Enero!D9+Febrero!D9+Marzo!D9+Abril!D9+Mayo!D9+Junio!D9</f>
        <v>0</v>
      </c>
      <c r="E9" s="45">
        <f>Enero!E9+Febrero!E9+Marzo!E9+Abril!E9+Mayo!E9+Junio!E9</f>
        <v>0</v>
      </c>
      <c r="F9" s="45">
        <f>Enero!F9+Febrero!F9+Marzo!F9+Abril!F9+Mayo!F9+Junio!F9</f>
        <v>0</v>
      </c>
    </row>
    <row r="10" spans="1:6" x14ac:dyDescent="0.2">
      <c r="A10" s="45" t="str">
        <f>Enero!A10</f>
        <v>CATODOS A GRANEL</v>
      </c>
      <c r="B10" s="45">
        <f>Enero!B10+Febrero!B10+Marzo!B10+Abril!B10+Mayo!B10+Junio!B10</f>
        <v>0</v>
      </c>
      <c r="C10" s="45">
        <f>Enero!C10+Febrero!C10+Marzo!C10+Abril!C10+Mayo!C10+Junio!C10</f>
        <v>0</v>
      </c>
      <c r="D10" s="45">
        <f>Enero!D10+Febrero!D10+Marzo!D10+Abril!D10+Mayo!D10+Junio!D10</f>
        <v>0</v>
      </c>
      <c r="E10" s="45">
        <f>Enero!E10+Febrero!E10+Marzo!E10+Abril!E10+Mayo!E10+Junio!E10</f>
        <v>0</v>
      </c>
      <c r="F10" s="45">
        <f>Enero!F10+Febrero!F10+Marzo!F10+Abril!F10+Mayo!F10+Junio!F10</f>
        <v>0</v>
      </c>
    </row>
    <row r="11" spans="1:6" x14ac:dyDescent="0.2">
      <c r="A11" s="45" t="str">
        <f>Enero!A11</f>
        <v>CEMENTO</v>
      </c>
      <c r="B11" s="45">
        <f>Enero!B11+Febrero!B11+Marzo!B11+Abril!B11+Mayo!B11+Junio!B11</f>
        <v>0</v>
      </c>
      <c r="C11" s="45">
        <f>Enero!C11+Febrero!C11+Marzo!C11+Abril!C11+Mayo!C11+Junio!C11</f>
        <v>203</v>
      </c>
      <c r="D11" s="45">
        <f>Enero!D11+Febrero!D11+Marzo!D11+Abril!D11+Mayo!D11+Junio!D11</f>
        <v>0</v>
      </c>
      <c r="E11" s="45">
        <f>Enero!E11+Febrero!E11+Marzo!E11+Abril!E11+Mayo!E11+Junio!E11</f>
        <v>0</v>
      </c>
      <c r="F11" s="45">
        <f>Enero!F11+Febrero!F11+Marzo!F11+Abril!F11+Mayo!F11+Junio!F11</f>
        <v>0</v>
      </c>
    </row>
    <row r="12" spans="1:6" x14ac:dyDescent="0.2">
      <c r="A12" s="45" t="str">
        <f>Enero!A12</f>
        <v>COKE</v>
      </c>
      <c r="B12" s="45">
        <f>Enero!B12+Febrero!B12+Marzo!B12+Abril!B12+Mayo!B12+Junio!B12</f>
        <v>0</v>
      </c>
      <c r="C12" s="45">
        <f>Enero!C12+Febrero!C12+Marzo!C12+Abril!C12+Mayo!C12+Junio!C12</f>
        <v>0</v>
      </c>
      <c r="D12" s="45">
        <f>Enero!D12+Febrero!D12+Marzo!D12+Abril!D12+Mayo!D12+Junio!D12</f>
        <v>81382</v>
      </c>
      <c r="E12" s="45">
        <f>Enero!E12+Febrero!E12+Marzo!E12+Abril!E12+Mayo!E12+Junio!E12</f>
        <v>0</v>
      </c>
      <c r="F12" s="45">
        <f>Enero!F12+Febrero!F12+Marzo!F12+Abril!F12+Mayo!F12+Junio!F12</f>
        <v>0</v>
      </c>
    </row>
    <row r="13" spans="1:6" x14ac:dyDescent="0.2">
      <c r="A13" s="45" t="str">
        <f>Enero!A13</f>
        <v>FLUORURO DE ALUMINIO</v>
      </c>
      <c r="B13" s="45">
        <f>Enero!B13+Febrero!B13+Marzo!B13+Abril!B13+Mayo!B13+Junio!B13</f>
        <v>0</v>
      </c>
      <c r="C13" s="45">
        <f>Enero!C13+Febrero!C13+Marzo!C13+Abril!C13+Mayo!C13+Junio!C13</f>
        <v>4677</v>
      </c>
      <c r="D13" s="45">
        <f>Enero!D13+Febrero!D13+Marzo!D13+Abril!D13+Mayo!D13+Junio!D13</f>
        <v>0</v>
      </c>
      <c r="E13" s="45">
        <f>Enero!E13+Febrero!E13+Marzo!E13+Abril!E13+Mayo!E13+Junio!E13</f>
        <v>0</v>
      </c>
      <c r="F13" s="45">
        <f>Enero!F13+Febrero!F13+Marzo!F13+Abril!F13+Mayo!F13+Junio!F13</f>
        <v>0</v>
      </c>
    </row>
    <row r="14" spans="1:6" x14ac:dyDescent="0.2">
      <c r="A14" s="45" t="str">
        <f>Enero!A14</f>
        <v>INSUMOS</v>
      </c>
      <c r="B14" s="45">
        <f>Enero!B14+Febrero!B14+Marzo!B14+Abril!B14+Mayo!B14+Junio!B14</f>
        <v>0</v>
      </c>
      <c r="C14" s="45">
        <f>Enero!C14+Febrero!C14+Marzo!C14+Abril!C14+Mayo!C14+Junio!C14</f>
        <v>3066</v>
      </c>
      <c r="D14" s="45">
        <f>Enero!D14+Febrero!D14+Marzo!D14+Abril!D14+Mayo!D14+Junio!D14</f>
        <v>0</v>
      </c>
      <c r="E14" s="45">
        <f>Enero!E14+Febrero!E14+Marzo!E14+Abril!E14+Mayo!E14+Junio!E14</f>
        <v>0</v>
      </c>
      <c r="F14" s="45">
        <f>Enero!F14+Febrero!F14+Marzo!F14+Abril!F14+Mayo!F14+Junio!F14</f>
        <v>0</v>
      </c>
    </row>
    <row r="15" spans="1:6" x14ac:dyDescent="0.2">
      <c r="A15" s="45" t="str">
        <f>Enero!A15</f>
        <v>LADRILLOS AISLANTES</v>
      </c>
      <c r="B15" s="45">
        <f>Enero!B15+Febrero!B15+Marzo!B15+Abril!B15+Mayo!B15+Junio!B15</f>
        <v>0</v>
      </c>
      <c r="C15" s="45">
        <f>Enero!C15+Febrero!C15+Marzo!C15+Abril!C15+Mayo!C15+Junio!C15</f>
        <v>387</v>
      </c>
      <c r="D15" s="45">
        <f>Enero!D15+Febrero!D15+Marzo!D15+Abril!D15+Mayo!D15+Junio!D15</f>
        <v>0</v>
      </c>
      <c r="E15" s="45">
        <f>Enero!E15+Febrero!E15+Marzo!E15+Abril!E15+Mayo!E15+Junio!E15</f>
        <v>0</v>
      </c>
      <c r="F15" s="45">
        <f>Enero!F15+Febrero!F15+Marzo!F15+Abril!F15+Mayo!F15+Junio!F15</f>
        <v>0</v>
      </c>
    </row>
    <row r="16" spans="1:6" x14ac:dyDescent="0.2">
      <c r="A16" s="45" t="str">
        <f>Enero!A16</f>
        <v>LOSAS LATERALES</v>
      </c>
      <c r="B16" s="45">
        <f>Enero!B16+Febrero!B16+Marzo!B16+Abril!B16+Mayo!B16+Junio!B16</f>
        <v>0</v>
      </c>
      <c r="C16" s="45">
        <f>Enero!C16+Febrero!C16+Marzo!C16+Abril!C16+Mayo!C16+Junio!C16</f>
        <v>0</v>
      </c>
      <c r="D16" s="45">
        <f>Enero!D16+Febrero!D16+Marzo!D16+Abril!D16+Mayo!D16+Junio!D16</f>
        <v>0</v>
      </c>
      <c r="E16" s="45">
        <f>Enero!E16+Febrero!E16+Marzo!E16+Abril!E16+Mayo!E16+Junio!E16</f>
        <v>0</v>
      </c>
      <c r="F16" s="45">
        <f>Enero!F16+Febrero!F16+Marzo!F16+Abril!F16+Mayo!F16+Junio!F16</f>
        <v>0</v>
      </c>
    </row>
    <row r="17" spans="1:6" x14ac:dyDescent="0.2">
      <c r="A17" s="45" t="str">
        <f>Enero!A17</f>
        <v>MAGNESIO</v>
      </c>
      <c r="B17" s="45">
        <f>Enero!B17+Febrero!B17+Marzo!B17+Abril!B17+Mayo!B17+Junio!B17</f>
        <v>0</v>
      </c>
      <c r="C17" s="45">
        <f>Enero!C17+Febrero!C17+Marzo!C17+Abril!C17+Mayo!C17+Junio!C17</f>
        <v>189</v>
      </c>
      <c r="D17" s="45">
        <f>Enero!D17+Febrero!D17+Marzo!D17+Abril!D17+Mayo!D17+Junio!D17</f>
        <v>0</v>
      </c>
      <c r="E17" s="45">
        <f>Enero!E17+Febrero!E17+Marzo!E17+Abril!E17+Mayo!E17+Junio!E17</f>
        <v>0</v>
      </c>
      <c r="F17" s="45">
        <f>Enero!F17+Febrero!F17+Marzo!F17+Abril!F17+Mayo!F17+Junio!F17</f>
        <v>0</v>
      </c>
    </row>
    <row r="18" spans="1:6" x14ac:dyDescent="0.2">
      <c r="A18" s="45" t="str">
        <f>Enero!A18</f>
        <v>MAQUINAS Y APARATOS</v>
      </c>
      <c r="B18" s="45">
        <f>Enero!B18+Febrero!B18+Marzo!B18+Abril!B18+Mayo!B18+Junio!B18</f>
        <v>0</v>
      </c>
      <c r="C18" s="45">
        <f>Enero!C18+Febrero!C18+Marzo!C18+Abril!C18+Mayo!C18+Junio!C18</f>
        <v>126</v>
      </c>
      <c r="D18" s="45">
        <f>Enero!D18+Febrero!D18+Marzo!D18+Abril!D18+Mayo!D18+Junio!D18</f>
        <v>0</v>
      </c>
      <c r="E18" s="45">
        <f>Enero!E18+Febrero!E18+Marzo!E18+Abril!E18+Mayo!E18+Junio!E18</f>
        <v>0</v>
      </c>
      <c r="F18" s="45">
        <f>Enero!F18+Febrero!F18+Marzo!F18+Abril!F18+Mayo!F18+Junio!F18</f>
        <v>0</v>
      </c>
    </row>
    <row r="19" spans="1:6" x14ac:dyDescent="0.2">
      <c r="A19" s="45" t="str">
        <f>Enero!A19</f>
        <v>MATERIAL EMPAQUE</v>
      </c>
      <c r="B19" s="45">
        <f>Enero!B19+Febrero!B19+Marzo!B19+Abril!B19+Mayo!B19+Junio!B19</f>
        <v>0</v>
      </c>
      <c r="C19" s="45">
        <f>Enero!C19+Febrero!C19+Marzo!C19+Abril!C19+Mayo!C19+Junio!C19</f>
        <v>3972</v>
      </c>
      <c r="D19" s="45">
        <f>Enero!D19+Febrero!D19+Marzo!D19+Abril!D19+Mayo!D19+Junio!D19</f>
        <v>0</v>
      </c>
      <c r="E19" s="45">
        <f>Enero!E19+Febrero!E19+Marzo!E19+Abril!E19+Mayo!E19+Junio!E19</f>
        <v>0</v>
      </c>
      <c r="F19" s="45">
        <f>Enero!F19+Febrero!F19+Marzo!F19+Abril!F19+Mayo!F19+Junio!F19</f>
        <v>0</v>
      </c>
    </row>
    <row r="20" spans="1:6" x14ac:dyDescent="0.2">
      <c r="A20" s="45" t="str">
        <f>Enero!A20</f>
        <v>MATERIAL REFRACTARIO</v>
      </c>
      <c r="B20" s="45">
        <f>Enero!B20+Febrero!B20+Marzo!B20+Abril!B20+Mayo!B20+Junio!B20</f>
        <v>0</v>
      </c>
      <c r="C20" s="45">
        <f>Enero!C20+Febrero!C20+Marzo!C20+Abril!C20+Mayo!C20+Junio!C20</f>
        <v>59</v>
      </c>
      <c r="D20" s="45">
        <f>Enero!D20+Febrero!D20+Marzo!D20+Abril!D20+Mayo!D20+Junio!D20</f>
        <v>0</v>
      </c>
      <c r="E20" s="45">
        <f>Enero!E20+Febrero!E20+Marzo!E20+Abril!E20+Mayo!E20+Junio!E20</f>
        <v>0</v>
      </c>
      <c r="F20" s="45">
        <f>Enero!F20+Febrero!F20+Marzo!F20+Abril!F20+Mayo!F20+Junio!F20</f>
        <v>0</v>
      </c>
    </row>
    <row r="21" spans="1:6" x14ac:dyDescent="0.2">
      <c r="A21" s="45" t="str">
        <f>Enero!A21</f>
        <v>PRODUCTOS QUIMICOS</v>
      </c>
      <c r="B21" s="45">
        <f>Enero!B21+Febrero!B21+Marzo!B21+Abril!B21+Mayo!B21+Junio!B21</f>
        <v>0</v>
      </c>
      <c r="C21" s="45">
        <f>Enero!C21+Febrero!C21+Marzo!C21+Abril!C21+Mayo!C21+Junio!C21</f>
        <v>0</v>
      </c>
      <c r="D21" s="45">
        <f>Enero!D21+Febrero!D21+Marzo!D21+Abril!D21+Mayo!D21+Junio!D21</f>
        <v>0</v>
      </c>
      <c r="E21" s="45">
        <f>Enero!E21+Febrero!E21+Marzo!E21+Abril!E21+Mayo!E21+Junio!E21</f>
        <v>0</v>
      </c>
      <c r="F21" s="45">
        <f>Enero!F21+Febrero!F21+Marzo!F21+Abril!F21+Mayo!F21+Junio!F21</f>
        <v>0</v>
      </c>
    </row>
    <row r="22" spans="1:6" x14ac:dyDescent="0.2">
      <c r="A22" s="45" t="str">
        <f>Enero!A22</f>
        <v>REPUESTOS</v>
      </c>
      <c r="B22" s="45">
        <f>Enero!B22+Febrero!B22+Marzo!B22+Abril!B22+Mayo!B22+Junio!B22</f>
        <v>0</v>
      </c>
      <c r="C22" s="45">
        <f>Enero!C22+Febrero!C22+Marzo!C22+Abril!C22+Mayo!C22+Junio!C22</f>
        <v>2</v>
      </c>
      <c r="D22" s="45">
        <f>Enero!D22+Febrero!D22+Marzo!D22+Abril!D22+Mayo!D22+Junio!D22</f>
        <v>0</v>
      </c>
      <c r="E22" s="45">
        <f>Enero!E22+Febrero!E22+Marzo!E22+Abril!E22+Mayo!E22+Junio!E22</f>
        <v>0</v>
      </c>
      <c r="F22" s="45">
        <f>Enero!F22+Febrero!F22+Marzo!F22+Abril!F22+Mayo!F22+Junio!F22</f>
        <v>0</v>
      </c>
    </row>
    <row r="23" spans="1:6" x14ac:dyDescent="0.2">
      <c r="A23" s="45" t="str">
        <f>Enero!A23</f>
        <v>SILICIO METALICO</v>
      </c>
      <c r="B23" s="45">
        <f>Enero!B23+Febrero!B23+Marzo!B23+Abril!B23+Mayo!B23+Junio!B23</f>
        <v>0</v>
      </c>
      <c r="C23" s="45">
        <f>Enero!C23+Febrero!C23+Marzo!C23+Abril!C23+Mayo!C23+Junio!C23</f>
        <v>274</v>
      </c>
      <c r="D23" s="45">
        <f>Enero!D23+Febrero!D23+Marzo!D23+Abril!D23+Mayo!D23+Junio!D23</f>
        <v>0</v>
      </c>
      <c r="E23" s="45">
        <f>Enero!E23+Febrero!E23+Marzo!E23+Abril!E23+Mayo!E23+Junio!E23</f>
        <v>0</v>
      </c>
      <c r="F23" s="45">
        <f>Enero!F23+Febrero!F23+Marzo!F23+Abril!F23+Mayo!F23+Junio!F23</f>
        <v>0</v>
      </c>
    </row>
    <row r="24" spans="1:6" x14ac:dyDescent="0.2">
      <c r="A24" s="45" t="str">
        <f>Enero!A24</f>
        <v>SUPER RAMP CP 45</v>
      </c>
      <c r="B24" s="45">
        <f>Enero!B24+Febrero!B24+Marzo!B24+Abril!B24+Mayo!B24+Junio!B24</f>
        <v>0</v>
      </c>
      <c r="C24" s="45">
        <f>Enero!C24+Febrero!C24+Marzo!C24+Abril!C24+Mayo!C24+Junio!C24</f>
        <v>0</v>
      </c>
      <c r="D24" s="45">
        <f>Enero!D24+Febrero!D24+Marzo!D24+Abril!D24+Mayo!D24+Junio!D24</f>
        <v>0</v>
      </c>
      <c r="E24" s="45">
        <f>Enero!E24+Febrero!E24+Marzo!E24+Abril!E24+Mayo!E24+Junio!E24</f>
        <v>0</v>
      </c>
      <c r="F24" s="45">
        <f>Enero!F24+Febrero!F24+Marzo!F24+Abril!F24+Mayo!F24+Junio!F24</f>
        <v>0</v>
      </c>
    </row>
    <row r="25" spans="1:6" x14ac:dyDescent="0.2">
      <c r="A25" s="45" t="str">
        <f>Enero!A25</f>
        <v>TEJOS DE ALUMINIO</v>
      </c>
      <c r="B25" s="45">
        <f>Enero!B25+Febrero!B25+Marzo!B25+Abril!B25+Mayo!B25+Junio!B25</f>
        <v>0</v>
      </c>
      <c r="C25" s="45">
        <f>Enero!C25+Febrero!C25+Marzo!C25+Abril!C25+Mayo!C25+Junio!C25</f>
        <v>0</v>
      </c>
      <c r="D25" s="45">
        <f>Enero!D25+Febrero!D25+Marzo!D25+Abril!D25+Mayo!D25+Junio!D25</f>
        <v>0</v>
      </c>
      <c r="E25" s="45">
        <f>Enero!E25+Febrero!E25+Marzo!E25+Abril!E25+Mayo!E25+Junio!E25</f>
        <v>0</v>
      </c>
      <c r="F25" s="45">
        <f>Enero!F25+Febrero!F25+Marzo!F25+Abril!F25+Mayo!F25+Junio!F25</f>
        <v>0</v>
      </c>
    </row>
    <row r="26" spans="1:6" x14ac:dyDescent="0.2">
      <c r="A26" s="45"/>
      <c r="B26" s="45"/>
      <c r="C26" s="45"/>
      <c r="D26" s="45"/>
      <c r="E26" s="45"/>
      <c r="F26" s="45"/>
    </row>
    <row r="27" spans="1:6" x14ac:dyDescent="0.2">
      <c r="A27" s="45" t="str">
        <f>Enero!A27</f>
        <v xml:space="preserve">OTROS </v>
      </c>
      <c r="B27" s="45">
        <f>Enero!B27+Febrero!B27+Marzo!B27+Abril!B27+Mayo!B27+Junio!B27</f>
        <v>1350</v>
      </c>
      <c r="C27" s="45">
        <f>Enero!C27+Febrero!C27+Marzo!C27+Abril!C27+Mayo!C27+Junio!C27</f>
        <v>3930</v>
      </c>
      <c r="D27" s="45">
        <f>Enero!D27+Febrero!D27+Marzo!D27+Abril!D27+Mayo!D27+Junio!D27</f>
        <v>0</v>
      </c>
      <c r="E27" s="45">
        <f>Enero!E27+Febrero!E27+Marzo!E27+Abril!E27+Mayo!E27+Junio!E27</f>
        <v>0</v>
      </c>
      <c r="F27" s="45">
        <f>Enero!F27+Febrero!F27+Marzo!F27+Abril!F27+Mayo!F27+Junio!F27</f>
        <v>0</v>
      </c>
    </row>
    <row r="28" spans="1:6" x14ac:dyDescent="0.2">
      <c r="A28" s="47" t="str">
        <f>Enero!A28</f>
        <v>TOTAL SECTOR ALUMINIO</v>
      </c>
      <c r="B28" s="47">
        <f>Enero!B28+Febrero!B28+Marzo!B28+Abril!B28+Mayo!B28+Junio!B28</f>
        <v>149256</v>
      </c>
      <c r="C28" s="47">
        <f>Enero!C28+Febrero!C28+Marzo!C28+Abril!C28+Mayo!C28+Junio!C28</f>
        <v>447341</v>
      </c>
      <c r="D28" s="47">
        <f>Enero!D28+Febrero!D28+Marzo!D28+Abril!D28+Mayo!D28+Junio!D28</f>
        <v>81382</v>
      </c>
      <c r="E28" s="47">
        <f>Enero!E28+Febrero!E28+Marzo!E28+Abril!E28+Mayo!E28+Junio!E28</f>
        <v>0</v>
      </c>
      <c r="F28" s="47">
        <f>Enero!F28+Febrero!F28+Marzo!F28+Abril!F28+Mayo!F28+Junio!F28</f>
        <v>0</v>
      </c>
    </row>
    <row r="29" spans="1:6" ht="6.75" customHeight="1" x14ac:dyDescent="0.2">
      <c r="A29" s="46"/>
      <c r="B29" s="46"/>
      <c r="C29" s="46"/>
      <c r="D29" s="46"/>
      <c r="E29" s="46"/>
      <c r="F29" s="46"/>
    </row>
    <row r="30" spans="1:6" x14ac:dyDescent="0.2">
      <c r="A30" s="45" t="str">
        <f>Enero!A30</f>
        <v>CALAMAR</v>
      </c>
      <c r="B30" s="45">
        <f>Enero!B30+Febrero!B30+Marzo!B30+Abril!B30+Mayo!B30+Junio!B30</f>
        <v>34550</v>
      </c>
      <c r="C30" s="45">
        <f>Enero!C30+Febrero!C30+Marzo!C30+Abril!C30+Mayo!C30+Junio!C30</f>
        <v>0</v>
      </c>
      <c r="D30" s="45">
        <f>Enero!D30+Febrero!D30+Marzo!D30+Abril!D30+Mayo!D30+Junio!D30</f>
        <v>49324</v>
      </c>
      <c r="E30" s="45">
        <f>Enero!E30+Febrero!E30+Marzo!E30+Abril!E30+Mayo!E30+Junio!E30</f>
        <v>0</v>
      </c>
      <c r="F30" s="45">
        <f>Enero!F30+Febrero!F30+Marzo!F30+Abril!F30+Mayo!F30+Junio!F30</f>
        <v>0</v>
      </c>
    </row>
    <row r="31" spans="1:6" x14ac:dyDescent="0.2">
      <c r="A31" s="45" t="str">
        <f>Enero!A31</f>
        <v>CENTOLLAS</v>
      </c>
      <c r="B31" s="45">
        <f>Enero!B31+Febrero!B31+Marzo!B31+Abril!B31+Mayo!B31+Junio!B31</f>
        <v>226</v>
      </c>
      <c r="C31" s="45">
        <f>Enero!C31+Febrero!C31+Marzo!C31+Abril!C31+Mayo!C31+Junio!C31</f>
        <v>0</v>
      </c>
      <c r="D31" s="45">
        <f>Enero!D31+Febrero!D31+Marzo!D31+Abril!D31+Mayo!D31+Junio!D31</f>
        <v>0</v>
      </c>
      <c r="E31" s="45">
        <f>Enero!E31+Febrero!E31+Marzo!E31+Abril!E31+Mayo!E31+Junio!E31</f>
        <v>0</v>
      </c>
      <c r="F31" s="45">
        <f>Enero!F31+Febrero!F31+Marzo!F31+Abril!F31+Mayo!F31+Junio!F31</f>
        <v>0</v>
      </c>
    </row>
    <row r="32" spans="1:6" x14ac:dyDescent="0.2">
      <c r="A32" s="45" t="str">
        <f>Enero!A32</f>
        <v>COMBUSTIBLES LIQUIDOS Y DERIVADOS</v>
      </c>
      <c r="B32" s="45">
        <f>Enero!B32+Febrero!B32+Marzo!B32+Abril!B32+Mayo!B32+Junio!B32</f>
        <v>0</v>
      </c>
      <c r="C32" s="45">
        <f>Enero!C32+Febrero!C32+Marzo!C32+Abril!C32+Mayo!C32+Junio!C32</f>
        <v>0</v>
      </c>
      <c r="D32" s="45">
        <f>Enero!D32+Febrero!D32+Marzo!D32+Abril!D32+Mayo!D32+Junio!D32</f>
        <v>103</v>
      </c>
      <c r="E32" s="45">
        <f>Enero!E32+Febrero!E32+Marzo!E32+Abril!E32+Mayo!E32+Junio!E32</f>
        <v>0</v>
      </c>
      <c r="F32" s="45">
        <f>Enero!F32+Febrero!F32+Marzo!F32+Abril!F32+Mayo!F32+Junio!F32</f>
        <v>13983</v>
      </c>
    </row>
    <row r="33" spans="1:6" x14ac:dyDescent="0.2">
      <c r="A33" s="45" t="str">
        <f>Enero!A33</f>
        <v>INSUMOS</v>
      </c>
      <c r="B33" s="45">
        <f>Enero!B33+Febrero!B33+Marzo!B33+Abril!B33+Mayo!B33+Junio!B33</f>
        <v>0</v>
      </c>
      <c r="C33" s="45">
        <f>Enero!C33+Febrero!C33+Marzo!C33+Abril!C33+Mayo!C33+Junio!C33</f>
        <v>160</v>
      </c>
      <c r="D33" s="45">
        <f>Enero!D33+Febrero!D33+Marzo!D33+Abril!D33+Mayo!D33+Junio!D33</f>
        <v>0</v>
      </c>
      <c r="E33" s="45">
        <f>Enero!E33+Febrero!E33+Marzo!E33+Abril!E33+Mayo!E33+Junio!E33</f>
        <v>0</v>
      </c>
      <c r="F33" s="45">
        <f>Enero!F33+Febrero!F33+Marzo!F33+Abril!F33+Mayo!F33+Junio!F33</f>
        <v>0</v>
      </c>
    </row>
    <row r="34" spans="1:6" x14ac:dyDescent="0.2">
      <c r="A34" s="45" t="str">
        <f>Enero!A34</f>
        <v>LANGOSTINOS</v>
      </c>
      <c r="B34" s="45">
        <f>Enero!B34+Febrero!B34+Marzo!B34+Abril!B34+Mayo!B34+Junio!B34</f>
        <v>35091</v>
      </c>
      <c r="C34" s="45">
        <f>Enero!C34+Febrero!C34+Marzo!C34+Abril!C34+Mayo!C34+Junio!C34</f>
        <v>0</v>
      </c>
      <c r="D34" s="45">
        <f>Enero!D34+Febrero!D34+Marzo!D34+Abril!D34+Mayo!D34+Junio!D34</f>
        <v>1042</v>
      </c>
      <c r="E34" s="45">
        <f>Enero!E34+Febrero!E34+Marzo!E34+Abril!E34+Mayo!E34+Junio!E34</f>
        <v>0</v>
      </c>
      <c r="F34" s="45">
        <f>Enero!F34+Febrero!F34+Marzo!F34+Abril!F34+Mayo!F34+Junio!F34</f>
        <v>0</v>
      </c>
    </row>
    <row r="35" spans="1:6" x14ac:dyDescent="0.2">
      <c r="A35" s="45" t="str">
        <f>Enero!A35</f>
        <v>MATERIAL EMPAQUE</v>
      </c>
      <c r="B35" s="45">
        <f>Enero!B35+Febrero!B35+Marzo!B35+Abril!B35+Mayo!B35+Junio!B35</f>
        <v>0</v>
      </c>
      <c r="C35" s="45">
        <f>Enero!C35+Febrero!C35+Marzo!C35+Abril!C35+Mayo!C35+Junio!C35</f>
        <v>130</v>
      </c>
      <c r="D35" s="45">
        <f>Enero!D35+Febrero!D35+Marzo!D35+Abril!D35+Mayo!D35+Junio!D35</f>
        <v>0</v>
      </c>
      <c r="E35" s="45">
        <f>Enero!E35+Febrero!E35+Marzo!E35+Abril!E35+Mayo!E35+Junio!E35</f>
        <v>0</v>
      </c>
      <c r="F35" s="45">
        <f>Enero!F35+Febrero!F35+Marzo!F35+Abril!F35+Mayo!F35+Junio!F35</f>
        <v>0</v>
      </c>
    </row>
    <row r="36" spans="1:6" x14ac:dyDescent="0.2">
      <c r="A36" s="45" t="str">
        <f>Enero!A36</f>
        <v>MERLUZA</v>
      </c>
      <c r="B36" s="45">
        <f>Enero!B36+Febrero!B36+Marzo!B36+Abril!B36+Mayo!B36+Junio!B36</f>
        <v>7555</v>
      </c>
      <c r="C36" s="45">
        <f>Enero!C36+Febrero!C36+Marzo!C36+Abril!C36+Mayo!C36+Junio!C36</f>
        <v>0</v>
      </c>
      <c r="D36" s="45">
        <f>Enero!D36+Febrero!D36+Marzo!D36+Abril!D36+Mayo!D36+Junio!D36</f>
        <v>4244</v>
      </c>
      <c r="E36" s="45">
        <f>Enero!E36+Febrero!E36+Marzo!E36+Abril!E36+Mayo!E36+Junio!E36</f>
        <v>0</v>
      </c>
      <c r="F36" s="45">
        <f>Enero!F36+Febrero!F36+Marzo!F36+Abril!F36+Mayo!F36+Junio!F36</f>
        <v>0</v>
      </c>
    </row>
    <row r="37" spans="1:6" x14ac:dyDescent="0.2">
      <c r="A37" s="45" t="str">
        <f>Enero!A37</f>
        <v>PESCADOS MARISCOS MOLUSCOS</v>
      </c>
      <c r="B37" s="45">
        <f>Enero!B37+Febrero!B37+Marzo!B37+Abril!B37+Mayo!B37+Junio!B37</f>
        <v>226</v>
      </c>
      <c r="C37" s="45">
        <f>Enero!C37+Febrero!C37+Marzo!C37+Abril!C37+Mayo!C37+Junio!C37</f>
        <v>81</v>
      </c>
      <c r="D37" s="45">
        <f>Enero!D37+Febrero!D37+Marzo!D37+Abril!D37+Mayo!D37+Junio!D37</f>
        <v>6078</v>
      </c>
      <c r="E37" s="45">
        <f>Enero!E37+Febrero!E37+Marzo!E37+Abril!E37+Mayo!E37+Junio!E37</f>
        <v>0</v>
      </c>
      <c r="F37" s="45">
        <f>Enero!F37+Febrero!F37+Marzo!F37+Abril!F37+Mayo!F37+Junio!F37</f>
        <v>0</v>
      </c>
    </row>
    <row r="38" spans="1:6" x14ac:dyDescent="0.2">
      <c r="A38" s="45"/>
      <c r="B38" s="45"/>
      <c r="C38" s="45"/>
      <c r="D38" s="45"/>
      <c r="E38" s="45"/>
      <c r="F38" s="45"/>
    </row>
    <row r="39" spans="1:6" x14ac:dyDescent="0.2">
      <c r="A39" s="45" t="str">
        <f>Enero!A39</f>
        <v xml:space="preserve">OTROS </v>
      </c>
      <c r="B39" s="45">
        <f>Enero!B39+Febrero!B39+Marzo!B39+Abril!B39+Mayo!B39+Junio!B39</f>
        <v>0</v>
      </c>
      <c r="C39" s="45">
        <f>Enero!C39+Febrero!C39+Marzo!C39+Abril!C39+Mayo!C39+Junio!C39</f>
        <v>105</v>
      </c>
      <c r="D39" s="45">
        <f>Enero!D39+Febrero!D39+Marzo!D39+Abril!D39+Mayo!D39+Junio!D39</f>
        <v>0</v>
      </c>
      <c r="E39" s="45">
        <f>Enero!E39+Febrero!E39+Marzo!E39+Abril!E39+Mayo!E39+Junio!E39</f>
        <v>0</v>
      </c>
      <c r="F39" s="45">
        <f>Enero!F39+Febrero!F39+Marzo!F39+Abril!F39+Mayo!F39+Junio!F39</f>
        <v>0</v>
      </c>
    </row>
    <row r="40" spans="1:6" x14ac:dyDescent="0.2">
      <c r="A40" s="47" t="str">
        <f>Enero!A40</f>
        <v>TOTAL SECTOR PESCA</v>
      </c>
      <c r="B40" s="47">
        <f>Enero!B40+Febrero!B40+Marzo!B40+Abril!B40+Mayo!B40+Junio!B40</f>
        <v>77648</v>
      </c>
      <c r="C40" s="47">
        <f>Enero!C40+Febrero!C40+Marzo!C40+Abril!C40+Mayo!C40+Junio!C40</f>
        <v>476</v>
      </c>
      <c r="D40" s="47">
        <f>Enero!D40+Febrero!D40+Marzo!D40+Abril!D40+Mayo!D40+Junio!D40</f>
        <v>60791</v>
      </c>
      <c r="E40" s="47">
        <f>Enero!E40+Febrero!E40+Marzo!E40+Abril!E40+Mayo!E40+Junio!E40</f>
        <v>0</v>
      </c>
      <c r="F40" s="47">
        <f>Enero!F40+Febrero!F40+Marzo!F40+Abril!F40+Mayo!F40+Junio!F40</f>
        <v>13983</v>
      </c>
    </row>
    <row r="41" spans="1:6" ht="6.75" customHeight="1" x14ac:dyDescent="0.2">
      <c r="A41" s="46"/>
      <c r="B41" s="46"/>
      <c r="C41" s="46"/>
      <c r="D41" s="46"/>
      <c r="E41" s="46"/>
      <c r="F41" s="46"/>
    </row>
    <row r="42" spans="1:6" x14ac:dyDescent="0.2">
      <c r="A42" s="45" t="str">
        <f>Enero!A42</f>
        <v>CUERO, PELO Y GRASA ANIMAL</v>
      </c>
      <c r="B42" s="45">
        <f>Enero!B42+Febrero!B42+Marzo!B42+Abril!B42+Mayo!B42+Junio!B42</f>
        <v>0</v>
      </c>
      <c r="C42" s="45">
        <f>Enero!C42+Febrero!C42+Marzo!C42+Abril!C42+Mayo!C42+Junio!C42</f>
        <v>0</v>
      </c>
      <c r="D42" s="45">
        <f>Enero!D42+Febrero!D42+Marzo!D42+Abril!D42+Mayo!D42+Junio!D42</f>
        <v>0</v>
      </c>
      <c r="E42" s="45">
        <f>Enero!E42+Febrero!E42+Marzo!E42+Abril!E42+Mayo!E42+Junio!E42</f>
        <v>0</v>
      </c>
      <c r="F42" s="45">
        <f>Enero!F42+Febrero!F42+Marzo!F42+Abril!F42+Mayo!F42+Junio!F42</f>
        <v>0</v>
      </c>
    </row>
    <row r="43" spans="1:6" x14ac:dyDescent="0.2">
      <c r="A43" s="45" t="str">
        <f>Enero!A43</f>
        <v>LANA</v>
      </c>
      <c r="B43" s="45">
        <f>Enero!B43+Febrero!B43+Marzo!B43+Abril!B43+Mayo!B43+Junio!B43</f>
        <v>863</v>
      </c>
      <c r="C43" s="45">
        <f>Enero!C43+Febrero!C43+Marzo!C43+Abril!C43+Mayo!C43+Junio!C43</f>
        <v>0</v>
      </c>
      <c r="D43" s="45">
        <f>Enero!D43+Febrero!D43+Marzo!D43+Abril!D43+Mayo!D43+Junio!D43</f>
        <v>0</v>
      </c>
      <c r="E43" s="45">
        <f>Enero!E43+Febrero!E43+Marzo!E43+Abril!E43+Mayo!E43+Junio!E43</f>
        <v>0</v>
      </c>
      <c r="F43" s="45">
        <f>Enero!F43+Febrero!F43+Marzo!F43+Abril!F43+Mayo!F43+Junio!F43</f>
        <v>0</v>
      </c>
    </row>
    <row r="44" spans="1:6" x14ac:dyDescent="0.2">
      <c r="A44" s="45" t="str">
        <f>Enero!A44</f>
        <v>LANA LAVADA</v>
      </c>
      <c r="B44" s="45">
        <f>Enero!B44+Febrero!B44+Marzo!B44+Abril!B44+Mayo!B44+Junio!B44</f>
        <v>138</v>
      </c>
      <c r="C44" s="45">
        <f>Enero!C44+Febrero!C44+Marzo!C44+Abril!C44+Mayo!C44+Junio!C44</f>
        <v>0</v>
      </c>
      <c r="D44" s="45">
        <f>Enero!D44+Febrero!D44+Marzo!D44+Abril!D44+Mayo!D44+Junio!D44</f>
        <v>0</v>
      </c>
      <c r="E44" s="45">
        <f>Enero!E44+Febrero!E44+Marzo!E44+Abril!E44+Mayo!E44+Junio!E44</f>
        <v>0</v>
      </c>
      <c r="F44" s="45">
        <f>Enero!F44+Febrero!F44+Marzo!F44+Abril!F44+Mayo!F44+Junio!F44</f>
        <v>0</v>
      </c>
    </row>
    <row r="45" spans="1:6" x14ac:dyDescent="0.2">
      <c r="A45" s="45" t="str">
        <f>Enero!A45</f>
        <v>LANA SUCIA</v>
      </c>
      <c r="B45" s="45">
        <f>Enero!B45+Febrero!B45+Marzo!B45+Abril!B45+Mayo!B45+Junio!B45</f>
        <v>442</v>
      </c>
      <c r="C45" s="45">
        <f>Enero!C45+Febrero!C45+Marzo!C45+Abril!C45+Mayo!C45+Junio!C45</f>
        <v>0</v>
      </c>
      <c r="D45" s="45">
        <f>Enero!D45+Febrero!D45+Marzo!D45+Abril!D45+Mayo!D45+Junio!D45</f>
        <v>0</v>
      </c>
      <c r="E45" s="45">
        <f>Enero!E45+Febrero!E45+Marzo!E45+Abril!E45+Mayo!E45+Junio!E45</f>
        <v>0</v>
      </c>
      <c r="F45" s="45">
        <f>Enero!F45+Febrero!F45+Marzo!F45+Abril!F45+Mayo!F45+Junio!F45</f>
        <v>0</v>
      </c>
    </row>
    <row r="46" spans="1:6" x14ac:dyDescent="0.2">
      <c r="A46" s="45" t="str">
        <f>Enero!A46</f>
        <v>LANA TOPS</v>
      </c>
      <c r="B46" s="45">
        <f>Enero!B46+Febrero!B46+Marzo!B46+Abril!B46+Mayo!B46+Junio!B46</f>
        <v>0</v>
      </c>
      <c r="C46" s="45">
        <f>Enero!C46+Febrero!C46+Marzo!C46+Abril!C46+Mayo!C46+Junio!C46</f>
        <v>0</v>
      </c>
      <c r="D46" s="45">
        <f>Enero!D46+Febrero!D46+Marzo!D46+Abril!D46+Mayo!D46+Junio!D46</f>
        <v>0</v>
      </c>
      <c r="E46" s="45">
        <f>Enero!E46+Febrero!E46+Marzo!E46+Abril!E46+Mayo!E46+Junio!E46</f>
        <v>0</v>
      </c>
      <c r="F46" s="45">
        <f>Enero!F46+Febrero!F46+Marzo!F46+Abril!F46+Mayo!F46+Junio!F46</f>
        <v>0</v>
      </c>
    </row>
    <row r="47" spans="1:6" x14ac:dyDescent="0.2">
      <c r="A47" s="45" t="str">
        <f>Enero!A47</f>
        <v>LANA BLUOSSE</v>
      </c>
      <c r="B47" s="45">
        <f>Enero!B47+Febrero!B47+Marzo!B47+Abril!B47+Mayo!B47+Junio!B47</f>
        <v>97</v>
      </c>
      <c r="C47" s="45">
        <f>Enero!C47+Febrero!C47+Marzo!C47+Abril!C47+Mayo!C47+Junio!C47</f>
        <v>0</v>
      </c>
      <c r="D47" s="45">
        <f>Enero!D47+Febrero!D47+Marzo!D47+Abril!D47+Mayo!D47+Junio!D47</f>
        <v>0</v>
      </c>
      <c r="E47" s="45">
        <f>Enero!E47+Febrero!E47+Marzo!E47+Abril!E47+Mayo!E47+Junio!E47</f>
        <v>0</v>
      </c>
      <c r="F47" s="45">
        <f>Enero!F47+Febrero!F47+Marzo!F47+Abril!F47+Mayo!F47+Junio!F47</f>
        <v>0</v>
      </c>
    </row>
    <row r="48" spans="1:6" x14ac:dyDescent="0.2">
      <c r="A48" s="45" t="str">
        <f>Enero!A48</f>
        <v>LANA PEINADA</v>
      </c>
      <c r="B48" s="45">
        <f>Enero!B48+Febrero!B48+Marzo!B48+Abril!B48+Mayo!B48+Junio!B48</f>
        <v>1054</v>
      </c>
      <c r="C48" s="45">
        <f>Enero!C48+Febrero!C48+Marzo!C48+Abril!C48+Mayo!C48+Junio!C48</f>
        <v>0</v>
      </c>
      <c r="D48" s="45">
        <f>Enero!D48+Febrero!D48+Marzo!D48+Abril!D48+Mayo!D48+Junio!D48</f>
        <v>0</v>
      </c>
      <c r="E48" s="45">
        <f>Enero!E48+Febrero!E48+Marzo!E48+Abril!E48+Mayo!E48+Junio!E48</f>
        <v>0</v>
      </c>
      <c r="F48" s="45">
        <f>Enero!F48+Febrero!F48+Marzo!F48+Abril!F48+Mayo!F48+Junio!F48</f>
        <v>0</v>
      </c>
    </row>
    <row r="49" spans="1:6" x14ac:dyDescent="0.2">
      <c r="A49" s="45"/>
      <c r="B49" s="45"/>
      <c r="C49" s="45"/>
      <c r="D49" s="45"/>
      <c r="E49" s="45"/>
      <c r="F49" s="45"/>
    </row>
    <row r="50" spans="1:6" x14ac:dyDescent="0.2">
      <c r="A50" s="45" t="str">
        <f>Enero!A50</f>
        <v xml:space="preserve">OTROS </v>
      </c>
      <c r="B50" s="45">
        <f>Enero!B50+Febrero!B50+Marzo!B50+Abril!B50+Mayo!B50+Junio!B50</f>
        <v>114</v>
      </c>
      <c r="C50" s="45">
        <f>Enero!C50+Febrero!C50+Marzo!C50+Abril!C50+Mayo!C50+Junio!C50</f>
        <v>0</v>
      </c>
      <c r="D50" s="45">
        <f>Enero!D50+Febrero!D50+Marzo!D50+Abril!D50+Mayo!D50+Junio!D50</f>
        <v>0</v>
      </c>
      <c r="E50" s="45">
        <f>Enero!E50+Febrero!E50+Marzo!E50+Abril!E50+Mayo!E50+Junio!E50</f>
        <v>0</v>
      </c>
      <c r="F50" s="45">
        <f>Enero!F50+Febrero!F50+Marzo!F50+Abril!F50+Mayo!F50+Junio!F50</f>
        <v>0</v>
      </c>
    </row>
    <row r="51" spans="1:6" x14ac:dyDescent="0.2">
      <c r="A51" s="47" t="str">
        <f>Enero!A51</f>
        <v>TOTAL SECTOR LANERO</v>
      </c>
      <c r="B51" s="47">
        <f>Enero!B51+Febrero!B51+Marzo!B51+Abril!B51+Mayo!B51+Junio!B51</f>
        <v>2708</v>
      </c>
      <c r="C51" s="47">
        <f>Enero!C51+Febrero!C51+Marzo!C51+Abril!C51+Mayo!C51+Junio!C51</f>
        <v>0</v>
      </c>
      <c r="D51" s="47">
        <f>Enero!D51+Febrero!D51+Marzo!D51+Abril!D51+Mayo!D51+Junio!D51</f>
        <v>0</v>
      </c>
      <c r="E51" s="47">
        <f>Enero!E51+Febrero!E51+Marzo!E51+Abril!E51+Mayo!E51+Junio!E51</f>
        <v>0</v>
      </c>
      <c r="F51" s="47">
        <f>Enero!F51+Febrero!F51+Marzo!F51+Abril!F51+Mayo!F51+Junio!F51</f>
        <v>0</v>
      </c>
    </row>
    <row r="52" spans="1:6" ht="6.75" customHeight="1" x14ac:dyDescent="0.2">
      <c r="A52" s="46"/>
      <c r="B52" s="46"/>
      <c r="C52" s="46"/>
      <c r="D52" s="46"/>
      <c r="E52" s="46"/>
      <c r="F52" s="46"/>
    </row>
    <row r="53" spans="1:6" x14ac:dyDescent="0.2">
      <c r="A53" s="45" t="str">
        <f>Enero!A53</f>
        <v>PORFIDO</v>
      </c>
      <c r="B53" s="45">
        <f>Enero!B53+Febrero!B53+Marzo!B53+Abril!B53+Mayo!B53+Junio!B53</f>
        <v>0</v>
      </c>
      <c r="C53" s="45">
        <f>Enero!C53+Febrero!C53+Marzo!C53+Abril!C53+Mayo!C53+Junio!C53</f>
        <v>0</v>
      </c>
      <c r="D53" s="45">
        <f>Enero!D53+Febrero!D53+Marzo!D53+Abril!D53+Mayo!D53+Junio!D53</f>
        <v>0</v>
      </c>
      <c r="E53" s="45">
        <f>Enero!E53+Febrero!E53+Marzo!E53+Abril!E53+Mayo!E53+Junio!E53</f>
        <v>0</v>
      </c>
      <c r="F53" s="45">
        <f>Enero!F53+Febrero!F53+Marzo!F53+Abril!F53+Mayo!F53+Junio!F53</f>
        <v>0</v>
      </c>
    </row>
    <row r="54" spans="1:6" x14ac:dyDescent="0.2">
      <c r="A54" s="45"/>
      <c r="B54" s="45"/>
      <c r="C54" s="45"/>
      <c r="D54" s="45"/>
      <c r="E54" s="45"/>
      <c r="F54" s="45"/>
    </row>
    <row r="55" spans="1:6" x14ac:dyDescent="0.2">
      <c r="A55" s="45" t="str">
        <f>Enero!A55</f>
        <v xml:space="preserve">OTROS </v>
      </c>
      <c r="B55" s="45">
        <f>Enero!B55+Febrero!B55+Marzo!B55+Abril!B55+Mayo!B55+Junio!B55</f>
        <v>0</v>
      </c>
      <c r="C55" s="45">
        <f>Enero!C55+Febrero!C55+Marzo!C55+Abril!C55+Mayo!C55+Junio!C55</f>
        <v>0</v>
      </c>
      <c r="D55" s="45">
        <f>Enero!D55+Febrero!D55+Marzo!D55+Abril!D55+Mayo!D55+Junio!D55</f>
        <v>0</v>
      </c>
      <c r="E55" s="45">
        <f>Enero!E55+Febrero!E55+Marzo!E55+Abril!E55+Mayo!E55+Junio!E55</f>
        <v>0</v>
      </c>
      <c r="F55" s="45">
        <f>Enero!F55+Febrero!F55+Marzo!F55+Abril!F55+Mayo!F55+Junio!F55</f>
        <v>0</v>
      </c>
    </row>
    <row r="56" spans="1:6" x14ac:dyDescent="0.2">
      <c r="A56" s="47" t="str">
        <f>Enero!A56</f>
        <v>TOTAL SECTOR PORFIDOS</v>
      </c>
      <c r="B56" s="47">
        <f>Enero!B56+Febrero!B56+Marzo!B56+Abril!B56+Mayo!B56+Junio!B56</f>
        <v>0</v>
      </c>
      <c r="C56" s="47">
        <f>Enero!C56+Febrero!C56+Marzo!C56+Abril!C56+Mayo!C56+Junio!C56</f>
        <v>0</v>
      </c>
      <c r="D56" s="47">
        <f>Enero!D56+Febrero!D56+Marzo!D56+Abril!D56+Mayo!D56+Junio!D56</f>
        <v>0</v>
      </c>
      <c r="E56" s="47">
        <f>Enero!E56+Febrero!E56+Marzo!E56+Abril!E56+Mayo!E56+Junio!E56</f>
        <v>0</v>
      </c>
      <c r="F56" s="47">
        <f>Enero!F56+Febrero!F56+Marzo!F56+Abril!F56+Mayo!F56+Junio!F56</f>
        <v>0</v>
      </c>
    </row>
    <row r="57" spans="1:6" ht="6.75" customHeight="1" x14ac:dyDescent="0.2">
      <c r="A57" s="46"/>
      <c r="B57" s="46"/>
      <c r="C57" s="46"/>
      <c r="D57" s="46"/>
      <c r="E57" s="46"/>
      <c r="F57" s="46"/>
    </row>
    <row r="58" spans="1:6" x14ac:dyDescent="0.2">
      <c r="A58" s="45" t="str">
        <f>Enero!A58</f>
        <v>FRUTA DESHIDRATADA</v>
      </c>
      <c r="B58" s="45">
        <f>Enero!B58+Febrero!B58+Marzo!B58+Abril!B58+Mayo!B58+Junio!B58</f>
        <v>0</v>
      </c>
      <c r="C58" s="45">
        <f>Enero!C58+Febrero!C58+Marzo!C58+Abril!C58+Mayo!C58+Junio!C58</f>
        <v>0</v>
      </c>
      <c r="D58" s="45">
        <f>Enero!D58+Febrero!D58+Marzo!D58+Abril!D58+Mayo!D58+Junio!D58</f>
        <v>0</v>
      </c>
      <c r="E58" s="45">
        <f>Enero!E58+Febrero!E58+Marzo!E58+Abril!E58+Mayo!E58+Junio!E58</f>
        <v>0</v>
      </c>
      <c r="F58" s="45">
        <f>Enero!F58+Febrero!F58+Marzo!F58+Abril!F58+Mayo!F58+Junio!F58</f>
        <v>0</v>
      </c>
    </row>
    <row r="59" spans="1:6" x14ac:dyDescent="0.2">
      <c r="A59" s="45" t="str">
        <f>Enero!A59</f>
        <v>JUGOS CONCENTRADOS</v>
      </c>
      <c r="B59" s="45">
        <f>Enero!B59+Febrero!B59+Marzo!B59+Abril!B59+Mayo!B59+Junio!B59</f>
        <v>0</v>
      </c>
      <c r="C59" s="45">
        <f>Enero!C59+Febrero!C59+Marzo!C59+Abril!C59+Mayo!C59+Junio!C59</f>
        <v>0</v>
      </c>
      <c r="D59" s="45">
        <f>Enero!D59+Febrero!D59+Marzo!D59+Abril!D59+Mayo!D59+Junio!D59</f>
        <v>0</v>
      </c>
      <c r="E59" s="45">
        <f>Enero!E59+Febrero!E59+Marzo!E59+Abril!E59+Mayo!E59+Junio!E59</f>
        <v>0</v>
      </c>
      <c r="F59" s="45">
        <f>Enero!F59+Febrero!F59+Marzo!F59+Abril!F59+Mayo!F59+Junio!F59</f>
        <v>0</v>
      </c>
    </row>
    <row r="60" spans="1:6" x14ac:dyDescent="0.2">
      <c r="A60" s="45" t="str">
        <f>Enero!A60</f>
        <v>MANZANA REFRIGERADA</v>
      </c>
      <c r="B60" s="45">
        <f>Enero!B60+Febrero!B60+Marzo!B60+Abril!B60+Mayo!B60+Junio!B60</f>
        <v>0</v>
      </c>
      <c r="C60" s="45">
        <f>Enero!C60+Febrero!C60+Marzo!C60+Abril!C60+Mayo!C60+Junio!C60</f>
        <v>0</v>
      </c>
      <c r="D60" s="45">
        <f>Enero!D60+Febrero!D60+Marzo!D60+Abril!D60+Mayo!D60+Junio!D60</f>
        <v>0</v>
      </c>
      <c r="E60" s="45">
        <f>Enero!E60+Febrero!E60+Marzo!E60+Abril!E60+Mayo!E60+Junio!E60</f>
        <v>0</v>
      </c>
      <c r="F60" s="45">
        <f>Enero!F60+Febrero!F60+Marzo!F60+Abril!F60+Mayo!F60+Junio!F60</f>
        <v>0</v>
      </c>
    </row>
    <row r="61" spans="1:6" x14ac:dyDescent="0.2">
      <c r="A61" s="45" t="str">
        <f>Enero!A61</f>
        <v>PERA REFRIGERADA</v>
      </c>
      <c r="B61" s="45">
        <f>Enero!B61+Febrero!B61+Marzo!B61+Abril!B61+Mayo!B61+Junio!B61</f>
        <v>0</v>
      </c>
      <c r="C61" s="45">
        <f>Enero!C61+Febrero!C61+Marzo!C61+Abril!C61+Mayo!C61+Junio!C61</f>
        <v>0</v>
      </c>
      <c r="D61" s="45">
        <f>Enero!D61+Febrero!D61+Marzo!D61+Abril!D61+Mayo!D61+Junio!D61</f>
        <v>0</v>
      </c>
      <c r="E61" s="45">
        <f>Enero!E61+Febrero!E61+Marzo!E61+Abril!E61+Mayo!E61+Junio!E61</f>
        <v>0</v>
      </c>
      <c r="F61" s="45">
        <f>Enero!F61+Febrero!F61+Marzo!F61+Abril!F61+Mayo!F61+Junio!F61</f>
        <v>0</v>
      </c>
    </row>
    <row r="62" spans="1:6" x14ac:dyDescent="0.2">
      <c r="A62" s="45"/>
      <c r="B62" s="45"/>
      <c r="C62" s="45"/>
      <c r="D62" s="45"/>
      <c r="E62" s="45"/>
      <c r="F62" s="45"/>
    </row>
    <row r="63" spans="1:6" x14ac:dyDescent="0.2">
      <c r="A63" s="45" t="str">
        <f>Enero!A63</f>
        <v xml:space="preserve">OTROS </v>
      </c>
      <c r="B63" s="45">
        <f>Enero!B63+Febrero!B63+Marzo!B63+Abril!B63+Mayo!B63+Junio!B63</f>
        <v>0</v>
      </c>
      <c r="C63" s="45">
        <f>Enero!C63+Febrero!C63+Marzo!C63+Abril!C63+Mayo!C63+Junio!C63</f>
        <v>0</v>
      </c>
      <c r="D63" s="45">
        <f>Enero!D63+Febrero!D63+Marzo!D63+Abril!D63+Mayo!D63+Junio!D63</f>
        <v>0</v>
      </c>
      <c r="E63" s="45">
        <f>Enero!E63+Febrero!E63+Marzo!E63+Abril!E63+Mayo!E63+Junio!E63</f>
        <v>0</v>
      </c>
      <c r="F63" s="45">
        <f>Enero!F63+Febrero!F63+Marzo!F63+Abril!F63+Mayo!F63+Junio!F63</f>
        <v>0</v>
      </c>
    </row>
    <row r="64" spans="1:6" x14ac:dyDescent="0.2">
      <c r="A64" s="47" t="str">
        <f>Enero!A64</f>
        <v>TOTAL SECTOR FRUTAS Y VERDURAS</v>
      </c>
      <c r="B64" s="47">
        <f>Enero!B64+Febrero!B64+Marzo!B64+Abril!B64+Mayo!B64+Junio!B64</f>
        <v>0</v>
      </c>
      <c r="C64" s="47">
        <f>Enero!C64+Febrero!C64+Marzo!C64+Abril!C64+Mayo!C64+Junio!C64</f>
        <v>0</v>
      </c>
      <c r="D64" s="47">
        <f>Enero!D64+Febrero!D64+Marzo!D64+Abril!D64+Mayo!D64+Junio!D64</f>
        <v>0</v>
      </c>
      <c r="E64" s="47">
        <f>Enero!E64+Febrero!E64+Marzo!E64+Abril!E64+Mayo!E64+Junio!E64</f>
        <v>0</v>
      </c>
      <c r="F64" s="47">
        <f>Enero!F64+Febrero!F64+Marzo!F64+Abril!F64+Mayo!F64+Junio!F64</f>
        <v>0</v>
      </c>
    </row>
    <row r="65" spans="1:6" ht="6.75" customHeight="1" x14ac:dyDescent="0.2">
      <c r="A65" s="46"/>
      <c r="B65" s="46"/>
      <c r="C65" s="46"/>
      <c r="D65" s="46"/>
      <c r="E65" s="46"/>
      <c r="F65" s="46"/>
    </row>
    <row r="66" spans="1:6" x14ac:dyDescent="0.2">
      <c r="A66" s="45" t="str">
        <f>Enero!A66</f>
        <v>ALGAS MARINAS</v>
      </c>
      <c r="B66" s="45">
        <f>Enero!B66+Febrero!B66+Marzo!B66+Abril!B66+Mayo!B66+Junio!B66</f>
        <v>0</v>
      </c>
      <c r="C66" s="45">
        <f>Enero!C66+Febrero!C66+Marzo!C66+Abril!C66+Mayo!C66+Junio!C66</f>
        <v>0</v>
      </c>
      <c r="D66" s="45">
        <f>Enero!D66+Febrero!D66+Marzo!D66+Abril!D66+Mayo!D66+Junio!D66</f>
        <v>0</v>
      </c>
      <c r="E66" s="45">
        <f>Enero!E66+Febrero!E66+Marzo!E66+Abril!E66+Mayo!E66+Junio!E66</f>
        <v>0</v>
      </c>
      <c r="F66" s="45">
        <f>Enero!F66+Febrero!F66+Marzo!F66+Abril!F66+Mayo!F66+Junio!F66</f>
        <v>0</v>
      </c>
    </row>
    <row r="67" spans="1:6" x14ac:dyDescent="0.2">
      <c r="A67" s="45" t="str">
        <f>Enero!A67</f>
        <v>CARNES COMESTIBLES</v>
      </c>
      <c r="B67" s="45">
        <f>Enero!B67+Febrero!B67+Marzo!B67+Abril!B67+Mayo!B67+Junio!B67</f>
        <v>17</v>
      </c>
      <c r="C67" s="45">
        <f>Enero!C67+Febrero!C67+Marzo!C67+Abril!C67+Mayo!C67+Junio!C67</f>
        <v>0</v>
      </c>
      <c r="D67" s="45">
        <f>Enero!D67+Febrero!D67+Marzo!D67+Abril!D67+Mayo!D67+Junio!D67</f>
        <v>0</v>
      </c>
      <c r="E67" s="45">
        <f>Enero!E67+Febrero!E67+Marzo!E67+Abril!E67+Mayo!E67+Junio!E67</f>
        <v>0</v>
      </c>
      <c r="F67" s="45">
        <f>Enero!F67+Febrero!F67+Marzo!F67+Abril!F67+Mayo!F67+Junio!F67</f>
        <v>0</v>
      </c>
    </row>
    <row r="68" spans="1:6" x14ac:dyDescent="0.2">
      <c r="A68" s="45" t="str">
        <f>Enero!A68</f>
        <v>CONCENTRADO DE PLATA</v>
      </c>
      <c r="B68" s="45">
        <f>Enero!B68+Febrero!B68+Marzo!B68+Abril!B68+Mayo!B68+Junio!B68</f>
        <v>0</v>
      </c>
      <c r="C68" s="45">
        <f>Enero!C68+Febrero!C68+Marzo!C68+Abril!C68+Mayo!C68+Junio!C68</f>
        <v>0</v>
      </c>
      <c r="D68" s="45">
        <f>Enero!D68+Febrero!D68+Marzo!D68+Abril!D68+Mayo!D68+Junio!D68</f>
        <v>0</v>
      </c>
      <c r="E68" s="45">
        <f>Enero!E68+Febrero!E68+Marzo!E68+Abril!E68+Mayo!E68+Junio!E68</f>
        <v>0</v>
      </c>
      <c r="F68" s="45">
        <f>Enero!F68+Febrero!F68+Marzo!F68+Abril!F68+Mayo!F68+Junio!F68</f>
        <v>0</v>
      </c>
    </row>
    <row r="69" spans="1:6" x14ac:dyDescent="0.2">
      <c r="A69" s="45" t="str">
        <f>Enero!A69</f>
        <v>DONACIONES INTERNAC.</v>
      </c>
      <c r="B69" s="45">
        <f>Enero!B69+Febrero!B69+Marzo!B69+Abril!B69+Mayo!B69+Junio!B69</f>
        <v>0</v>
      </c>
      <c r="C69" s="45">
        <f>Enero!C69+Febrero!C69+Marzo!C69+Abril!C69+Mayo!C69+Junio!C69</f>
        <v>0</v>
      </c>
      <c r="D69" s="45">
        <f>Enero!D69+Febrero!D69+Marzo!D69+Abril!D69+Mayo!D69+Junio!D69</f>
        <v>0</v>
      </c>
      <c r="E69" s="45">
        <f>Enero!E69+Febrero!E69+Marzo!E69+Abril!E69+Mayo!E69+Junio!E69</f>
        <v>0</v>
      </c>
      <c r="F69" s="45">
        <f>Enero!F69+Febrero!F69+Marzo!F69+Abril!F69+Mayo!F69+Junio!F69</f>
        <v>0</v>
      </c>
    </row>
    <row r="70" spans="1:6" x14ac:dyDescent="0.2">
      <c r="A70" s="45" t="str">
        <f>Enero!A70</f>
        <v>EFECTOS PERSONALES</v>
      </c>
      <c r="B70" s="45">
        <f>Enero!B70+Febrero!B70+Marzo!B70+Abril!B70+Mayo!B70+Junio!B70</f>
        <v>0</v>
      </c>
      <c r="C70" s="45">
        <f>Enero!C70+Febrero!C70+Marzo!C70+Abril!C70+Mayo!C70+Junio!C70</f>
        <v>2</v>
      </c>
      <c r="D70" s="45">
        <f>Enero!D70+Febrero!D70+Marzo!D70+Abril!D70+Mayo!D70+Junio!D70</f>
        <v>0</v>
      </c>
      <c r="E70" s="45">
        <f>Enero!E70+Febrero!E70+Marzo!E70+Abril!E70+Mayo!E70+Junio!E70</f>
        <v>0</v>
      </c>
      <c r="F70" s="45">
        <f>Enero!F70+Febrero!F70+Marzo!F70+Abril!F70+Mayo!F70+Junio!F70</f>
        <v>0</v>
      </c>
    </row>
    <row r="71" spans="1:6" x14ac:dyDescent="0.2">
      <c r="A71" s="45" t="str">
        <f>Enero!A71</f>
        <v>MAQUINAS Y APARATOS</v>
      </c>
      <c r="B71" s="45">
        <f>Enero!B71+Febrero!B71+Marzo!B71+Abril!B71+Mayo!B71+Junio!B71</f>
        <v>0</v>
      </c>
      <c r="C71" s="45">
        <f>Enero!C71+Febrero!C71+Marzo!C71+Abril!C71+Mayo!C71+Junio!C71</f>
        <v>0</v>
      </c>
      <c r="D71" s="45">
        <f>Enero!D71+Febrero!D71+Marzo!D71+Abril!D71+Mayo!D71+Junio!D71</f>
        <v>0</v>
      </c>
      <c r="E71" s="45">
        <f>Enero!E71+Febrero!E71+Marzo!E71+Abril!E71+Mayo!E71+Junio!E71</f>
        <v>0</v>
      </c>
      <c r="F71" s="45">
        <f>Enero!F71+Febrero!F71+Marzo!F71+Abril!F71+Mayo!F71+Junio!F71</f>
        <v>0</v>
      </c>
    </row>
    <row r="72" spans="1:6" x14ac:dyDescent="0.2">
      <c r="A72" s="45" t="str">
        <f>Enero!A72</f>
        <v>GENERADORES EOLICOS</v>
      </c>
      <c r="B72" s="45">
        <f>Enero!B72+Febrero!B72+Marzo!B72+Abril!B72+Mayo!B72+Junio!B72</f>
        <v>0</v>
      </c>
      <c r="C72" s="45">
        <f>Enero!C72+Febrero!C72+Marzo!C72+Abril!C72+Mayo!C72+Junio!C72</f>
        <v>12532</v>
      </c>
      <c r="D72" s="45">
        <f>Enero!D72+Febrero!D72+Marzo!D72+Abril!D72+Mayo!D72+Junio!D72</f>
        <v>0</v>
      </c>
      <c r="E72" s="45">
        <f>Enero!E72+Febrero!E72+Marzo!E72+Abril!E72+Mayo!E72+Junio!E72</f>
        <v>0</v>
      </c>
      <c r="F72" s="45">
        <f>Enero!F72+Febrero!F72+Marzo!F72+Abril!F72+Mayo!F72+Junio!F72</f>
        <v>0</v>
      </c>
    </row>
    <row r="73" spans="1:6" x14ac:dyDescent="0.2">
      <c r="A73" s="45" t="str">
        <f>Enero!A73</f>
        <v>GRUAS Y ELEMENTOS DE IZAJES</v>
      </c>
      <c r="B73" s="45">
        <f>Enero!B73+Febrero!B73+Marzo!B73+Abril!B73+Mayo!B73+Junio!B73</f>
        <v>0</v>
      </c>
      <c r="C73" s="45">
        <f>Enero!C73+Febrero!C73+Marzo!C73+Abril!C73+Mayo!C73+Junio!C73</f>
        <v>0</v>
      </c>
      <c r="D73" s="45">
        <f>Enero!D73+Febrero!D73+Marzo!D73+Abril!D73+Mayo!D73+Junio!D73</f>
        <v>0</v>
      </c>
      <c r="E73" s="45">
        <f>Enero!E73+Febrero!E73+Marzo!E73+Abril!E73+Mayo!E73+Junio!E73</f>
        <v>0</v>
      </c>
      <c r="F73" s="45">
        <f>Enero!F73+Febrero!F73+Marzo!F73+Abril!F73+Mayo!F73+Junio!F73</f>
        <v>0</v>
      </c>
    </row>
    <row r="74" spans="1:6" x14ac:dyDescent="0.2">
      <c r="A74" s="45"/>
      <c r="B74" s="45"/>
      <c r="C74" s="45"/>
      <c r="D74" s="45"/>
      <c r="E74" s="45"/>
      <c r="F74" s="45"/>
    </row>
    <row r="75" spans="1:6" x14ac:dyDescent="0.2">
      <c r="A75" s="45" t="str">
        <f>Enero!A75</f>
        <v xml:space="preserve">OTROS </v>
      </c>
      <c r="B75" s="45">
        <f>Enero!B75+Febrero!B75+Marzo!B75+Abril!B75+Mayo!B75+Junio!B75</f>
        <v>1133</v>
      </c>
      <c r="C75" s="45">
        <f>Enero!C75+Febrero!C75+Marzo!C75+Abril!C75+Mayo!C75+Junio!C75</f>
        <v>5614</v>
      </c>
      <c r="D75" s="45">
        <f>Enero!D75+Febrero!D75+Marzo!D75+Abril!D75+Mayo!D75+Junio!D75</f>
        <v>0</v>
      </c>
      <c r="E75" s="45">
        <f>Enero!E75+Febrero!E75+Marzo!E75+Abril!E75+Mayo!E75+Junio!E75</f>
        <v>0</v>
      </c>
      <c r="F75" s="45">
        <f>Enero!F75+Febrero!F75+Marzo!F75+Abril!F75+Mayo!F75+Junio!F75</f>
        <v>0</v>
      </c>
    </row>
    <row r="76" spans="1:6" x14ac:dyDescent="0.2">
      <c r="A76" s="47" t="str">
        <f>Enero!A76</f>
        <v>TOTAL SECTOR OTRAS MERCADERIAS</v>
      </c>
      <c r="B76" s="47">
        <f>Enero!B76+Febrero!B76+Marzo!B76+Abril!B76+Mayo!B76+Junio!B76</f>
        <v>1150</v>
      </c>
      <c r="C76" s="47">
        <f>Enero!C76+Febrero!C76+Marzo!C76+Abril!C76+Mayo!C76+Junio!C76</f>
        <v>18148</v>
      </c>
      <c r="D76" s="47">
        <f>Enero!D76+Febrero!D76+Marzo!D76+Abril!D76+Mayo!D76+Junio!D76</f>
        <v>0</v>
      </c>
      <c r="E76" s="47">
        <f>Enero!E76+Febrero!E76+Marzo!E76+Abril!E76+Mayo!E76+Junio!E76</f>
        <v>0</v>
      </c>
      <c r="F76" s="47">
        <f>Enero!F76+Febrero!F76+Marzo!F76+Abril!F76+Mayo!F76+Junio!F76</f>
        <v>0</v>
      </c>
    </row>
    <row r="77" spans="1:6" ht="6.75" customHeight="1" x14ac:dyDescent="0.2">
      <c r="A77" s="46"/>
      <c r="B77" s="46"/>
      <c r="C77" s="46"/>
      <c r="D77" s="46"/>
      <c r="E77" s="46"/>
      <c r="F77" s="46"/>
    </row>
    <row r="78" spans="1:6" x14ac:dyDescent="0.2">
      <c r="A78" s="48" t="s">
        <v>124</v>
      </c>
      <c r="B78" s="49">
        <f t="shared" ref="B78:F78" si="0">+B28+B40+B51+B56+B64+B76</f>
        <v>230762</v>
      </c>
      <c r="C78" s="49">
        <f t="shared" si="0"/>
        <v>465965</v>
      </c>
      <c r="D78" s="49">
        <f t="shared" si="0"/>
        <v>142173</v>
      </c>
      <c r="E78" s="49">
        <f t="shared" si="0"/>
        <v>0</v>
      </c>
      <c r="F78" s="49">
        <f t="shared" si="0"/>
        <v>13983</v>
      </c>
    </row>
    <row r="79" spans="1:6" ht="15.75" x14ac:dyDescent="0.25">
      <c r="A79" s="50" t="s">
        <v>125</v>
      </c>
      <c r="B79" s="77">
        <f>SUM(B78:F78)</f>
        <v>852883</v>
      </c>
      <c r="C79" s="77"/>
      <c r="D79" s="77"/>
      <c r="E79" s="77"/>
      <c r="F79" s="77"/>
    </row>
    <row r="80" spans="1:6" x14ac:dyDescent="0.2">
      <c r="A80" s="53" t="s">
        <v>126</v>
      </c>
      <c r="B80" s="54"/>
      <c r="C80" s="54"/>
      <c r="D80" s="54"/>
      <c r="E80" s="54"/>
      <c r="F80" s="54"/>
    </row>
    <row r="81" spans="1:6" x14ac:dyDescent="0.2">
      <c r="A81" s="72" t="s">
        <v>127</v>
      </c>
      <c r="B81" s="55"/>
      <c r="C81" s="51"/>
      <c r="D81" s="56" t="s">
        <v>128</v>
      </c>
      <c r="E81" s="43"/>
      <c r="F81" s="57"/>
    </row>
    <row r="82" spans="1:6" x14ac:dyDescent="0.2">
      <c r="A82" s="58" t="s">
        <v>8</v>
      </c>
      <c r="B82" s="87">
        <f>B28</f>
        <v>149256</v>
      </c>
      <c r="C82" s="51"/>
      <c r="D82" s="59" t="str">
        <f>Enero!D82</f>
        <v>BUQUE CARGA GENERAL</v>
      </c>
      <c r="E82" s="43"/>
      <c r="F82" s="57">
        <f>Enero!F82+Febrero!F82+Marzo!F82+Abril!F82+Mayo!F82+Junio!F82</f>
        <v>11</v>
      </c>
    </row>
    <row r="83" spans="1:6" x14ac:dyDescent="0.2">
      <c r="A83" s="58" t="s">
        <v>64</v>
      </c>
      <c r="B83" s="87">
        <f>B40</f>
        <v>77648</v>
      </c>
      <c r="C83" s="52"/>
      <c r="D83" s="59" t="str">
        <f>Enero!D83</f>
        <v>FRIGORIFICO</v>
      </c>
      <c r="E83" s="43"/>
      <c r="F83" s="57">
        <f>Enero!F83+Febrero!F83+Marzo!F83+Abril!F83+Mayo!F83+Junio!F83</f>
        <v>0</v>
      </c>
    </row>
    <row r="84" spans="1:6" x14ac:dyDescent="0.2">
      <c r="A84" s="58" t="s">
        <v>65</v>
      </c>
      <c r="B84" s="87">
        <f>B56</f>
        <v>0</v>
      </c>
      <c r="C84" s="52"/>
      <c r="D84" s="59" t="str">
        <f>Enero!D84</f>
        <v>CISTERNA (TANQUE)</v>
      </c>
      <c r="E84" s="43"/>
      <c r="F84" s="57">
        <f>Enero!F84+Febrero!F84+Marzo!F84+Abril!F84+Mayo!F84+Junio!F84</f>
        <v>1</v>
      </c>
    </row>
    <row r="85" spans="1:6" x14ac:dyDescent="0.2">
      <c r="A85" s="58" t="s">
        <v>66</v>
      </c>
      <c r="B85" s="87">
        <f>B64</f>
        <v>0</v>
      </c>
      <c r="C85" s="52"/>
      <c r="D85" s="59" t="str">
        <f>Enero!D85</f>
        <v>MINERALERO</v>
      </c>
      <c r="E85" s="43"/>
      <c r="F85" s="57">
        <f>Enero!F85+Febrero!F85+Marzo!F85+Abril!F85+Mayo!F85+Junio!F85</f>
        <v>14</v>
      </c>
    </row>
    <row r="86" spans="1:6" x14ac:dyDescent="0.2">
      <c r="A86" s="58" t="s">
        <v>39</v>
      </c>
      <c r="B86" s="87">
        <f>B51</f>
        <v>2708</v>
      </c>
      <c r="C86" s="52"/>
      <c r="D86" s="59" t="str">
        <f>Enero!D86</f>
        <v>PASAJEROS</v>
      </c>
      <c r="E86" s="43"/>
      <c r="F86" s="57">
        <f>Enero!F86+Febrero!F86+Marzo!F86+Abril!F86+Mayo!F86+Junio!F86</f>
        <v>32</v>
      </c>
    </row>
    <row r="87" spans="1:6" x14ac:dyDescent="0.2">
      <c r="A87" s="58" t="s">
        <v>68</v>
      </c>
      <c r="B87" s="87">
        <f>B76</f>
        <v>1150</v>
      </c>
      <c r="C87" s="52"/>
      <c r="D87" s="59" t="str">
        <f>Enero!D87</f>
        <v>PESQUERO CAJONERO</v>
      </c>
      <c r="E87" s="43"/>
      <c r="F87" s="57">
        <f>Enero!F87+Febrero!F87+Marzo!F87+Abril!F87+Mayo!F87+Junio!F87</f>
        <v>49</v>
      </c>
    </row>
    <row r="88" spans="1:6" x14ac:dyDescent="0.2">
      <c r="A88" s="60" t="s">
        <v>129</v>
      </c>
      <c r="B88" s="79">
        <f>SUM(B82:B87)</f>
        <v>230762</v>
      </c>
      <c r="C88" s="52"/>
      <c r="D88" s="59" t="str">
        <f>Enero!D88</f>
        <v>PESQUERO FACTORIA</v>
      </c>
      <c r="E88" s="43"/>
      <c r="F88" s="57">
        <f>Enero!F88+Febrero!F88+Marzo!F88+Abril!F88+Mayo!F88+Junio!F88</f>
        <v>25</v>
      </c>
    </row>
    <row r="89" spans="1:6" x14ac:dyDescent="0.2">
      <c r="A89" s="52"/>
      <c r="B89" s="52"/>
      <c r="C89" s="52"/>
      <c r="D89" s="59" t="str">
        <f>Enero!D89</f>
        <v>PESQUERO TANGONERO</v>
      </c>
      <c r="E89" s="43"/>
      <c r="F89" s="57">
        <f>Enero!F89+Febrero!F89+Marzo!F89+Abril!F89+Mayo!F89+Junio!F89</f>
        <v>10</v>
      </c>
    </row>
    <row r="90" spans="1:6" x14ac:dyDescent="0.2">
      <c r="A90" s="73" t="s">
        <v>130</v>
      </c>
      <c r="B90" s="74"/>
      <c r="C90" s="52"/>
      <c r="D90" s="59" t="str">
        <f>Enero!D90</f>
        <v>PESQUERO POTERO</v>
      </c>
      <c r="E90" s="43"/>
      <c r="F90" s="57">
        <f>Enero!F90+Febrero!F90+Marzo!F90+Abril!F90+Mayo!F90+Junio!F90</f>
        <v>119</v>
      </c>
    </row>
    <row r="91" spans="1:6" x14ac:dyDescent="0.2">
      <c r="A91" s="61" t="str">
        <f>Enero!A91</f>
        <v>ALUMINA</v>
      </c>
      <c r="B91" s="86">
        <f>C4</f>
        <v>418255</v>
      </c>
      <c r="C91" s="51"/>
      <c r="D91" s="59" t="str">
        <f>Enero!D91</f>
        <v>PORTACONTENEDORES</v>
      </c>
      <c r="E91" s="43"/>
      <c r="F91" s="57">
        <f>Enero!F91+Febrero!F91+Marzo!F91+Abril!F91+Mayo!F91+Junio!F91</f>
        <v>12</v>
      </c>
    </row>
    <row r="92" spans="1:6" x14ac:dyDescent="0.2">
      <c r="A92" s="61" t="str">
        <f>Enero!A92</f>
        <v>BREA</v>
      </c>
      <c r="B92" s="86">
        <f>C8</f>
        <v>12008</v>
      </c>
      <c r="C92" s="51"/>
      <c r="D92" s="59" t="str">
        <f>Enero!D92</f>
        <v>CATAMARAN</v>
      </c>
      <c r="E92" s="43"/>
      <c r="F92" s="57">
        <f>Enero!F92+Febrero!F92+Marzo!F92+Abril!F92+Mayo!F92+Junio!F92</f>
        <v>0</v>
      </c>
    </row>
    <row r="93" spans="1:6" x14ac:dyDescent="0.2">
      <c r="A93" s="61" t="str">
        <f>Enero!A93</f>
        <v>OTROS</v>
      </c>
      <c r="B93" s="86">
        <f>C78-C4-C8-C72</f>
        <v>23170</v>
      </c>
      <c r="C93" s="51"/>
      <c r="D93" s="59" t="str">
        <f>Enero!D93</f>
        <v>OTRO</v>
      </c>
      <c r="E93" s="43"/>
      <c r="F93" s="57">
        <f>Enero!F93+Febrero!F93+Marzo!F93+Abril!F93+Mayo!F93+Junio!F93</f>
        <v>30</v>
      </c>
    </row>
    <row r="94" spans="1:6" x14ac:dyDescent="0.2">
      <c r="A94" s="61" t="str">
        <f>Enero!A94</f>
        <v>AEROGENERADORES</v>
      </c>
      <c r="B94" s="86">
        <f>C72</f>
        <v>12532</v>
      </c>
      <c r="C94" s="51"/>
      <c r="D94" s="56" t="str">
        <f>Enero!D94</f>
        <v>TOTAL BUQUES</v>
      </c>
      <c r="E94" s="75"/>
      <c r="F94" s="62">
        <f>SUM(F82:F93)</f>
        <v>303</v>
      </c>
    </row>
    <row r="95" spans="1:6" x14ac:dyDescent="0.2">
      <c r="A95" s="63" t="s">
        <v>131</v>
      </c>
      <c r="B95" s="78">
        <f>SUM(B91:B94)</f>
        <v>465965</v>
      </c>
      <c r="C95" s="51"/>
      <c r="D95" s="64"/>
      <c r="E95" s="54"/>
      <c r="F95" s="52"/>
    </row>
    <row r="96" spans="1:6" x14ac:dyDescent="0.2">
      <c r="A96" s="52"/>
      <c r="B96" s="51"/>
      <c r="C96" s="52"/>
      <c r="D96" s="65"/>
      <c r="E96" s="54"/>
      <c r="F96" s="66"/>
    </row>
    <row r="97" spans="1:6" x14ac:dyDescent="0.2">
      <c r="A97" s="52"/>
      <c r="B97" s="52"/>
      <c r="C97" s="52"/>
      <c r="D97" s="52"/>
      <c r="E97" s="52"/>
      <c r="F97" s="52"/>
    </row>
    <row r="98" spans="1:6" x14ac:dyDescent="0.2">
      <c r="A98" s="52"/>
      <c r="B98" s="67" t="s">
        <v>133</v>
      </c>
      <c r="C98" s="54"/>
      <c r="D98" s="54"/>
      <c r="E98" s="52"/>
      <c r="F98" s="52"/>
    </row>
    <row r="99" spans="1:6" x14ac:dyDescent="0.2">
      <c r="A99" s="44" t="s">
        <v>89</v>
      </c>
      <c r="B99" s="44" t="s">
        <v>90</v>
      </c>
      <c r="C99" s="44" t="s">
        <v>91</v>
      </c>
      <c r="D99" s="44" t="s">
        <v>92</v>
      </c>
      <c r="E99" s="44" t="s">
        <v>93</v>
      </c>
      <c r="F99" s="44" t="s">
        <v>94</v>
      </c>
    </row>
    <row r="100" spans="1:6" x14ac:dyDescent="0.2">
      <c r="A100" s="47" t="str">
        <f>Enero!A100</f>
        <v>REEFER  40 Pies</v>
      </c>
      <c r="B100" s="68">
        <f>Enero!B100+Febrero!B100+Marzo!B100+Abril!B100+Mayo!B100+Junio!B100</f>
        <v>2869</v>
      </c>
      <c r="C100" s="68">
        <f>Enero!C100+Febrero!C100+Marzo!C100+Abril!C100+Mayo!C100+Junio!C100</f>
        <v>3</v>
      </c>
      <c r="D100" s="68">
        <f>Enero!D100+Febrero!D100+Marzo!D100+Abril!D100+Mayo!D100+Junio!D100</f>
        <v>3066</v>
      </c>
      <c r="E100" s="68">
        <f>Enero!E100+Febrero!E100+Marzo!E100+Abril!E100+Mayo!E100+Junio!E100</f>
        <v>93</v>
      </c>
      <c r="F100" s="68">
        <f>Enero!F100+Febrero!F100+Marzo!F100+Abril!F100+Mayo!F100+Junio!F100</f>
        <v>12062</v>
      </c>
    </row>
    <row r="101" spans="1:6" x14ac:dyDescent="0.2">
      <c r="A101" s="47" t="str">
        <f>Enero!A101</f>
        <v>REEFER HC  40 Pies</v>
      </c>
      <c r="B101" s="68">
        <f>Enero!B101+Febrero!B101+Marzo!B101+Abril!B101+Mayo!B101+Junio!B101</f>
        <v>0</v>
      </c>
      <c r="C101" s="68">
        <f>Enero!C101+Febrero!C101+Marzo!C101+Abril!C101+Mayo!C101+Junio!C101</f>
        <v>0</v>
      </c>
      <c r="D101" s="68">
        <f>Enero!D101+Febrero!D101+Marzo!D101+Abril!D101+Mayo!D101+Junio!D101</f>
        <v>0</v>
      </c>
      <c r="E101" s="68">
        <f>Enero!E101+Febrero!E101+Marzo!E101+Abril!E101+Mayo!E101+Junio!E101</f>
        <v>0</v>
      </c>
      <c r="F101" s="68">
        <f>Enero!F101+Febrero!F101+Marzo!F101+Abril!F101+Mayo!F101+Junio!F101</f>
        <v>0</v>
      </c>
    </row>
    <row r="102" spans="1:6" x14ac:dyDescent="0.2">
      <c r="A102" s="47" t="str">
        <f>Enero!A102</f>
        <v>STANDARD  40 Pies</v>
      </c>
      <c r="B102" s="68">
        <f>Enero!B102+Febrero!B102+Marzo!B102+Abril!B102+Mayo!B102+Junio!B102</f>
        <v>671</v>
      </c>
      <c r="C102" s="68">
        <f>Enero!C102+Febrero!C102+Marzo!C102+Abril!C102+Mayo!C102+Junio!C102</f>
        <v>602</v>
      </c>
      <c r="D102" s="68">
        <f>Enero!D102+Febrero!D102+Marzo!D102+Abril!D102+Mayo!D102+Junio!D102</f>
        <v>530</v>
      </c>
      <c r="E102" s="68">
        <f>Enero!E102+Febrero!E102+Marzo!E102+Abril!E102+Mayo!E102+Junio!E102</f>
        <v>284</v>
      </c>
      <c r="F102" s="68">
        <f>Enero!F102+Febrero!F102+Marzo!F102+Abril!F102+Mayo!F102+Junio!F102</f>
        <v>2762</v>
      </c>
    </row>
    <row r="103" spans="1:6" x14ac:dyDescent="0.2">
      <c r="A103" s="47" t="str">
        <f>Enero!A103</f>
        <v>STANDARD  20 Pies</v>
      </c>
      <c r="B103" s="68">
        <f>Enero!B103+Febrero!B103+Marzo!B103+Abril!B103+Mayo!B103+Junio!B103</f>
        <v>806</v>
      </c>
      <c r="C103" s="68">
        <f>Enero!C103+Febrero!C103+Marzo!C103+Abril!C103+Mayo!C103+Junio!C103</f>
        <v>684</v>
      </c>
      <c r="D103" s="68">
        <f>Enero!D103+Febrero!D103+Marzo!D103+Abril!D103+Mayo!D103+Junio!D103</f>
        <v>230</v>
      </c>
      <c r="E103" s="68">
        <f>Enero!E103+Febrero!E103+Marzo!E103+Abril!E103+Mayo!E103+Junio!E103</f>
        <v>253</v>
      </c>
      <c r="F103" s="68">
        <f>Enero!F103+Febrero!F103+Marzo!F103+Abril!F103+Mayo!F103+Junio!F103</f>
        <v>2347</v>
      </c>
    </row>
    <row r="104" spans="1:6" x14ac:dyDescent="0.2">
      <c r="A104" s="47" t="str">
        <f>Enero!A104</f>
        <v>STANDARD HC  40 Pies</v>
      </c>
      <c r="B104" s="68">
        <f>Enero!B104+Febrero!B104+Marzo!B104+Abril!B104+Mayo!B104+Junio!B104</f>
        <v>0</v>
      </c>
      <c r="C104" s="68">
        <f>Enero!C104+Febrero!C104+Marzo!C104+Abril!C104+Mayo!C104+Junio!C104</f>
        <v>0</v>
      </c>
      <c r="D104" s="68">
        <f>Enero!D104+Febrero!D104+Marzo!D104+Abril!D104+Mayo!D104+Junio!D104</f>
        <v>0</v>
      </c>
      <c r="E104" s="68">
        <f>Enero!E104+Febrero!E104+Marzo!E104+Abril!E104+Mayo!E104+Junio!E104</f>
        <v>0</v>
      </c>
      <c r="F104" s="68">
        <f>Enero!F104+Febrero!F104+Marzo!F104+Abril!F104+Mayo!F104+Junio!F104</f>
        <v>0</v>
      </c>
    </row>
    <row r="105" spans="1:6" x14ac:dyDescent="0.2">
      <c r="A105" s="47" t="str">
        <f>Enero!A105</f>
        <v>OPEN TOP  40 Pies</v>
      </c>
      <c r="B105" s="68">
        <f>Enero!B105+Febrero!B105+Marzo!B105+Abril!B105+Mayo!B105+Junio!B105</f>
        <v>0</v>
      </c>
      <c r="C105" s="68">
        <f>Enero!C105+Febrero!C105+Marzo!C105+Abril!C105+Mayo!C105+Junio!C105</f>
        <v>0</v>
      </c>
      <c r="D105" s="68">
        <f>Enero!D105+Febrero!D105+Marzo!D105+Abril!D105+Mayo!D105+Junio!D105</f>
        <v>0</v>
      </c>
      <c r="E105" s="68">
        <f>Enero!E105+Febrero!E105+Marzo!E105+Abril!E105+Mayo!E105+Junio!E105</f>
        <v>0</v>
      </c>
      <c r="F105" s="68">
        <f>Enero!F105+Febrero!F105+Marzo!F105+Abril!F105+Mayo!F105+Junio!F105</f>
        <v>0</v>
      </c>
    </row>
    <row r="106" spans="1:6" x14ac:dyDescent="0.2">
      <c r="A106" s="47" t="str">
        <f>Enero!A106</f>
        <v>FLAT RACK  40 Pies</v>
      </c>
      <c r="B106" s="68">
        <f>Enero!B106+Febrero!B106+Marzo!B106+Abril!B106+Mayo!B106+Junio!B106</f>
        <v>0</v>
      </c>
      <c r="C106" s="68">
        <f>Enero!C106+Febrero!C106+Marzo!C106+Abril!C106+Mayo!C106+Junio!C106</f>
        <v>0</v>
      </c>
      <c r="D106" s="68">
        <f>Enero!D106+Febrero!D106+Marzo!D106+Abril!D106+Mayo!D106+Junio!D106</f>
        <v>0</v>
      </c>
      <c r="E106" s="68">
        <f>Enero!E106+Febrero!E106+Marzo!E106+Abril!E106+Mayo!E106+Junio!E106</f>
        <v>0</v>
      </c>
      <c r="F106" s="68">
        <f>Enero!F106+Febrero!F106+Marzo!F106+Abril!F106+Mayo!F106+Junio!F106</f>
        <v>0</v>
      </c>
    </row>
    <row r="107" spans="1:6" x14ac:dyDescent="0.2">
      <c r="A107" s="47" t="str">
        <f>Enero!A107</f>
        <v>OPEN SIDE  20 Pies</v>
      </c>
      <c r="B107" s="68">
        <f>Enero!B107+Febrero!B107+Marzo!B107+Abril!B107+Mayo!B107+Junio!B107</f>
        <v>0</v>
      </c>
      <c r="C107" s="68">
        <f>Enero!C107+Febrero!C107+Marzo!C107+Abril!C107+Mayo!C107+Junio!C107</f>
        <v>0</v>
      </c>
      <c r="D107" s="68">
        <f>Enero!D107+Febrero!D107+Marzo!D107+Abril!D107+Mayo!D107+Junio!D107</f>
        <v>0</v>
      </c>
      <c r="E107" s="68">
        <f>Enero!E107+Febrero!E107+Marzo!E107+Abril!E107+Mayo!E107+Junio!E107</f>
        <v>0</v>
      </c>
      <c r="F107" s="68">
        <f>Enero!F107+Febrero!F107+Marzo!F107+Abril!F107+Mayo!F107+Junio!F107</f>
        <v>0</v>
      </c>
    </row>
    <row r="108" spans="1:6" x14ac:dyDescent="0.2">
      <c r="A108" s="47" t="str">
        <f>Enero!A108</f>
        <v>TANK  20 Pies</v>
      </c>
      <c r="B108" s="68">
        <f>Enero!B108+Febrero!B108+Marzo!B108+Abril!B108+Mayo!B108+Junio!B108</f>
        <v>0</v>
      </c>
      <c r="C108" s="68">
        <f>Enero!C108+Febrero!C108+Marzo!C108+Abril!C108+Mayo!C108+Junio!C108</f>
        <v>0</v>
      </c>
      <c r="D108" s="68">
        <f>Enero!D108+Febrero!D108+Marzo!D108+Abril!D108+Mayo!D108+Junio!D108</f>
        <v>0</v>
      </c>
      <c r="E108" s="68">
        <f>Enero!E108+Febrero!E108+Marzo!E108+Abril!E108+Mayo!E108+Junio!E108</f>
        <v>0</v>
      </c>
      <c r="F108" s="68">
        <f>Enero!F108+Febrero!F108+Marzo!F108+Abril!F108+Mayo!F108+Junio!F108</f>
        <v>0</v>
      </c>
    </row>
    <row r="109" spans="1:6" x14ac:dyDescent="0.2">
      <c r="A109" s="69" t="str">
        <f>Enero!A109</f>
        <v>Totales</v>
      </c>
      <c r="B109" s="69">
        <f>SUM(B100:B108)</f>
        <v>4346</v>
      </c>
      <c r="C109" s="70">
        <f>SUM(C100:C108)</f>
        <v>1289</v>
      </c>
      <c r="D109" s="69">
        <f>SUM(D100:D108)</f>
        <v>3826</v>
      </c>
      <c r="E109" s="69">
        <f>SUM(E100:E108)</f>
        <v>630</v>
      </c>
      <c r="F109" s="69">
        <f>SUM(F100:F108)</f>
        <v>17171</v>
      </c>
    </row>
    <row r="110" spans="1:6" ht="15.75" x14ac:dyDescent="0.25">
      <c r="A110" s="47" t="str">
        <f>Enero!A110</f>
        <v>Total Contenedores</v>
      </c>
      <c r="B110" s="80">
        <f>SUM(B109:E109)</f>
        <v>10091</v>
      </c>
      <c r="C110" s="81"/>
      <c r="D110" s="81"/>
      <c r="E110" s="82"/>
    </row>
  </sheetData>
  <sheetProtection algorithmName="SHA-512" hashValue="1Lnen5HO2RjX8g2NXj1OCUUgrN4DHEbDiYEBNC/xTAUsnXpZi9CPU7L8c5/z3JUXjrjTRtYBd4nb8h+lAeEoJQ==" saltValue="DHr1PJYjq8yVKLxCWUuobg==" spinCount="100000" sheet="1" objects="1" scenarios="1"/>
  <mergeCells count="22">
    <mergeCell ref="B98:D98"/>
    <mergeCell ref="B110:E110"/>
    <mergeCell ref="B79:F79"/>
    <mergeCell ref="A90:B90"/>
    <mergeCell ref="D91:E91"/>
    <mergeCell ref="D92:E92"/>
    <mergeCell ref="D93:E93"/>
    <mergeCell ref="D94:E94"/>
    <mergeCell ref="D95:E95"/>
    <mergeCell ref="D96:E96"/>
    <mergeCell ref="D85:E85"/>
    <mergeCell ref="D86:E86"/>
    <mergeCell ref="D87:E87"/>
    <mergeCell ref="D88:E88"/>
    <mergeCell ref="D89:E89"/>
    <mergeCell ref="D90:E90"/>
    <mergeCell ref="A1:F1"/>
    <mergeCell ref="A80:F80"/>
    <mergeCell ref="D81:E81"/>
    <mergeCell ref="D82:E82"/>
    <mergeCell ref="D83:E83"/>
    <mergeCell ref="D84:E8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5" workbookViewId="0">
      <selection activeCell="I111" sqref="I111"/>
    </sheetView>
  </sheetViews>
  <sheetFormatPr baseColWidth="10" defaultColWidth="9.140625" defaultRowHeight="12.75" x14ac:dyDescent="0.2"/>
  <cols>
    <col min="1" max="1" width="38.85546875" bestFit="1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134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205+1283+3547+521</f>
        <v>5556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56700</v>
      </c>
      <c r="D4" s="2"/>
      <c r="E4" s="2"/>
      <c r="F4" s="2"/>
    </row>
    <row r="5" spans="1:6" x14ac:dyDescent="0.2">
      <c r="A5" s="2" t="s">
        <v>8</v>
      </c>
      <c r="B5" s="2">
        <v>34809</v>
      </c>
      <c r="C5" s="2">
        <v>50</v>
      </c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/>
      <c r="D7" s="2"/>
      <c r="E7" s="2"/>
      <c r="F7" s="2"/>
    </row>
    <row r="8" spans="1:6" x14ac:dyDescent="0.2">
      <c r="A8" s="2" t="s">
        <v>11</v>
      </c>
      <c r="B8" s="2"/>
      <c r="C8" s="2">
        <f>506+1979</f>
        <v>2485</v>
      </c>
      <c r="D8" s="2"/>
      <c r="E8" s="2"/>
      <c r="F8" s="2"/>
    </row>
    <row r="9" spans="1:6" x14ac:dyDescent="0.2">
      <c r="A9" s="2" t="s">
        <v>12</v>
      </c>
      <c r="B9" s="2"/>
      <c r="C9" s="2">
        <v>41</v>
      </c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>
        <v>251</v>
      </c>
      <c r="D11" s="2"/>
      <c r="E11" s="2"/>
      <c r="F11" s="2"/>
    </row>
    <row r="12" spans="1:6" x14ac:dyDescent="0.2">
      <c r="A12" s="2" t="s">
        <v>15</v>
      </c>
      <c r="B12" s="2"/>
      <c r="C12" s="2"/>
      <c r="D12" s="2"/>
      <c r="E12" s="2"/>
      <c r="F12" s="2"/>
    </row>
    <row r="13" spans="1:6" x14ac:dyDescent="0.2">
      <c r="A13" s="2" t="s">
        <v>16</v>
      </c>
      <c r="B13" s="2"/>
      <c r="C13" s="2">
        <v>549</v>
      </c>
      <c r="D13" s="2"/>
      <c r="E13" s="2"/>
      <c r="F13" s="2"/>
    </row>
    <row r="14" spans="1:6" x14ac:dyDescent="0.2">
      <c r="A14" s="2" t="s">
        <v>17</v>
      </c>
      <c r="B14" s="2"/>
      <c r="C14" s="2">
        <f>208+533</f>
        <v>741</v>
      </c>
      <c r="D14" s="2"/>
      <c r="E14" s="2"/>
      <c r="F14" s="2"/>
    </row>
    <row r="15" spans="1:6" x14ac:dyDescent="0.2">
      <c r="A15" s="2" t="s">
        <v>18</v>
      </c>
      <c r="B15" s="2"/>
      <c r="C15" s="2">
        <f>176+509</f>
        <v>685</v>
      </c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/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/>
      <c r="D19" s="2"/>
      <c r="E19" s="2"/>
      <c r="F19" s="2"/>
    </row>
    <row r="20" spans="1:6" x14ac:dyDescent="0.2">
      <c r="A20" s="2" t="s">
        <v>23</v>
      </c>
      <c r="B20" s="2"/>
      <c r="C20" s="2"/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>
        <f>84+99</f>
        <v>183</v>
      </c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119+63+96+525+46+51</f>
        <v>900</v>
      </c>
      <c r="D27" s="2"/>
      <c r="E27" s="2"/>
      <c r="F27" s="2"/>
    </row>
    <row r="28" spans="1:6" x14ac:dyDescent="0.2">
      <c r="A28" s="3" t="s">
        <v>30</v>
      </c>
      <c r="B28" s="3">
        <f>SUM(B3:B27)</f>
        <v>40365</v>
      </c>
      <c r="C28" s="3">
        <f>SUM(C3:C27)</f>
        <v>62585</v>
      </c>
      <c r="D28" s="3">
        <f>SUM(D3:D27)</f>
        <v>0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1411</v>
      </c>
      <c r="C30" s="2">
        <v>53</v>
      </c>
      <c r="D30" s="2"/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533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2514</v>
      </c>
      <c r="C34" s="2"/>
      <c r="D34" s="2">
        <v>1220</v>
      </c>
      <c r="E34" s="2"/>
      <c r="F34" s="2"/>
    </row>
    <row r="35" spans="1:6" x14ac:dyDescent="0.2">
      <c r="A35" s="2" t="s">
        <v>22</v>
      </c>
      <c r="B35" s="2"/>
      <c r="C35" s="2">
        <f>642+40</f>
        <v>682</v>
      </c>
      <c r="D35" s="2"/>
      <c r="E35" s="2"/>
      <c r="F35" s="2"/>
    </row>
    <row r="36" spans="1:6" x14ac:dyDescent="0.2">
      <c r="A36" s="2" t="s">
        <v>35</v>
      </c>
      <c r="B36" s="2">
        <f>1877+167+85</f>
        <v>2129</v>
      </c>
      <c r="C36" s="2"/>
      <c r="D36" s="2"/>
      <c r="E36" s="2"/>
      <c r="F36" s="2"/>
    </row>
    <row r="37" spans="1:6" x14ac:dyDescent="0.2">
      <c r="A37" s="2" t="s">
        <v>36</v>
      </c>
      <c r="B37" s="2">
        <v>25</v>
      </c>
      <c r="C37" s="2"/>
      <c r="D37" s="2">
        <v>765</v>
      </c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6079</v>
      </c>
      <c r="C40" s="3">
        <f>SUM(C30:C39)</f>
        <v>735</v>
      </c>
      <c r="D40" s="3">
        <f>SUM(D30:D39)</f>
        <v>1985</v>
      </c>
      <c r="E40" s="3">
        <f>SUM(E30:E39)</f>
        <v>0</v>
      </c>
      <c r="F40" s="3">
        <f>SUM(F30:F39)</f>
        <v>533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47</v>
      </c>
      <c r="C43" s="2"/>
      <c r="D43" s="2"/>
      <c r="E43" s="2"/>
      <c r="F43" s="2"/>
    </row>
    <row r="44" spans="1:6" x14ac:dyDescent="0.2">
      <c r="A44" s="2" t="s">
        <v>40</v>
      </c>
      <c r="B44" s="2"/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>
        <v>51</v>
      </c>
      <c r="C47" s="2"/>
      <c r="D47" s="2"/>
      <c r="E47" s="2"/>
      <c r="F47" s="2"/>
    </row>
    <row r="48" spans="1:6" x14ac:dyDescent="0.2">
      <c r="A48" s="2" t="s">
        <v>44</v>
      </c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98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>
        <v>3325</v>
      </c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/>
      <c r="C75" s="2">
        <f>8+20+16+50+21</f>
        <v>115</v>
      </c>
      <c r="D75" s="2"/>
      <c r="E75" s="2"/>
      <c r="F75" s="2"/>
    </row>
    <row r="76" spans="1:6" x14ac:dyDescent="0.2">
      <c r="A76" s="3" t="s">
        <v>60</v>
      </c>
      <c r="B76" s="3">
        <f>SUM(B66:B75)</f>
        <v>0</v>
      </c>
      <c r="C76" s="3">
        <f>SUM(C66:C75)</f>
        <v>3440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46542</v>
      </c>
      <c r="C78" s="7">
        <f>SUM(C3:C76)/2</f>
        <v>66760</v>
      </c>
      <c r="D78" s="7">
        <f>SUM(D3:D77)/2</f>
        <v>1985</v>
      </c>
      <c r="E78" s="7">
        <f>SUM(E3:E77)/2</f>
        <v>0</v>
      </c>
      <c r="F78" s="7">
        <f>SUM(F3:F77)/2</f>
        <v>533</v>
      </c>
    </row>
    <row r="79" spans="1:6" ht="24.95" customHeight="1" x14ac:dyDescent="0.2">
      <c r="A79" s="3" t="s">
        <v>62</v>
      </c>
      <c r="B79" s="24">
        <f>SUM(B78:F78)</f>
        <v>115820</v>
      </c>
      <c r="C79" s="25"/>
      <c r="D79" s="25"/>
      <c r="E79" s="25"/>
      <c r="F79" s="25"/>
    </row>
    <row r="80" spans="1:6" x14ac:dyDescent="0.2">
      <c r="A80" s="38" t="s">
        <v>135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40365</v>
      </c>
      <c r="D82" s="26" t="s">
        <v>71</v>
      </c>
      <c r="E82" s="27"/>
      <c r="F82" s="17">
        <v>3</v>
      </c>
    </row>
    <row r="83" spans="1:6" x14ac:dyDescent="0.2">
      <c r="A83" s="12" t="s">
        <v>64</v>
      </c>
      <c r="B83" s="12">
        <f>B40</f>
        <v>6079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0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1</v>
      </c>
    </row>
    <row r="86" spans="1:6" x14ac:dyDescent="0.2">
      <c r="A86" s="12" t="s">
        <v>67</v>
      </c>
      <c r="B86" s="12">
        <f>B51</f>
        <v>98</v>
      </c>
      <c r="D86" s="26" t="s">
        <v>75</v>
      </c>
      <c r="E86" s="27"/>
      <c r="F86" s="17">
        <v>0</v>
      </c>
    </row>
    <row r="87" spans="1:6" x14ac:dyDescent="0.2">
      <c r="A87" s="12" t="s">
        <v>68</v>
      </c>
      <c r="B87" s="12">
        <f>B76</f>
        <v>0</v>
      </c>
      <c r="D87" s="26" t="s">
        <v>76</v>
      </c>
      <c r="E87" s="27"/>
      <c r="F87" s="17">
        <v>29</v>
      </c>
    </row>
    <row r="88" spans="1:6" x14ac:dyDescent="0.2">
      <c r="A88" s="13" t="s">
        <v>69</v>
      </c>
      <c r="B88" s="13">
        <f>SUM(B81:B87)</f>
        <v>46542</v>
      </c>
      <c r="D88" s="26" t="s">
        <v>77</v>
      </c>
      <c r="E88" s="27"/>
      <c r="F88" s="17">
        <v>1</v>
      </c>
    </row>
    <row r="89" spans="1:6" x14ac:dyDescent="0.2">
      <c r="D89" s="26" t="s">
        <v>78</v>
      </c>
      <c r="E89" s="27"/>
      <c r="F89" s="17">
        <v>6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0</v>
      </c>
    </row>
    <row r="91" spans="1:6" x14ac:dyDescent="0.2">
      <c r="A91" s="21" t="s">
        <v>7</v>
      </c>
      <c r="B91" s="21">
        <f>C4</f>
        <v>56700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2485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4250</v>
      </c>
      <c r="D93" s="26" t="s">
        <v>82</v>
      </c>
      <c r="E93" s="27"/>
      <c r="F93" s="17">
        <v>4</v>
      </c>
    </row>
    <row r="94" spans="1:6" x14ac:dyDescent="0.2">
      <c r="A94" s="21" t="s">
        <v>86</v>
      </c>
      <c r="B94" s="21">
        <f>C72</f>
        <v>3325</v>
      </c>
      <c r="D94" s="28" t="s">
        <v>83</v>
      </c>
      <c r="E94" s="29"/>
      <c r="F94" s="18">
        <f>SUM(F82:F93)</f>
        <v>46</v>
      </c>
    </row>
    <row r="95" spans="1:6" x14ac:dyDescent="0.2">
      <c r="A95" s="22" t="s">
        <v>87</v>
      </c>
      <c r="B95" s="22">
        <f>SUM(B91:B94)</f>
        <v>66760</v>
      </c>
    </row>
    <row r="97" spans="1:6" x14ac:dyDescent="0.2">
      <c r="C97" s="39" t="s">
        <v>134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228</v>
      </c>
      <c r="C100" s="3">
        <v>2</v>
      </c>
      <c r="D100" s="3">
        <v>340</v>
      </c>
      <c r="E100" s="3">
        <v>4</v>
      </c>
      <c r="F100" s="3">
        <f>SUM(B100:E100)*2</f>
        <v>1148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212</v>
      </c>
      <c r="C102" s="3">
        <v>239</v>
      </c>
      <c r="D102" s="3">
        <v>100</v>
      </c>
      <c r="E102" s="3">
        <v>161</v>
      </c>
      <c r="F102" s="3">
        <f>SUM(B102:E102)</f>
        <v>712</v>
      </c>
    </row>
    <row r="103" spans="1:6" x14ac:dyDescent="0.2">
      <c r="A103" s="3" t="s">
        <v>97</v>
      </c>
      <c r="B103" s="3">
        <v>4</v>
      </c>
      <c r="C103" s="3">
        <v>78</v>
      </c>
      <c r="D103" s="3">
        <v>50</v>
      </c>
      <c r="E103" s="3">
        <v>32</v>
      </c>
      <c r="F103" s="3">
        <f>SUM(B103:E103)*2</f>
        <v>328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444</v>
      </c>
      <c r="C109" s="23">
        <f>SUM(C99:C108)</f>
        <v>319</v>
      </c>
      <c r="D109" s="23">
        <f>SUM(D99:D108)</f>
        <v>490</v>
      </c>
      <c r="E109" s="23">
        <f>SUM(E99:E108)</f>
        <v>197</v>
      </c>
      <c r="F109" s="23">
        <f>SUM(F99:F108)</f>
        <v>2188</v>
      </c>
    </row>
    <row r="110" spans="1:6" ht="15.75" x14ac:dyDescent="0.25">
      <c r="A110" s="3" t="s">
        <v>105</v>
      </c>
      <c r="B110" s="32">
        <f>SUM(B109:E109)</f>
        <v>1450</v>
      </c>
      <c r="C110" s="33"/>
      <c r="D110" s="33"/>
      <c r="E110" s="34"/>
    </row>
  </sheetData>
  <sheetProtection sheet="1" objects="1" scenarios="1"/>
  <mergeCells count="17">
    <mergeCell ref="B110:E110"/>
    <mergeCell ref="D94:E94"/>
    <mergeCell ref="A98:F98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ignoredErrors>
    <ignoredError sqref="C7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6" workbookViewId="0">
      <selection activeCell="B102" sqref="B102:E102"/>
    </sheetView>
  </sheetViews>
  <sheetFormatPr baseColWidth="10" defaultColWidth="9.140625" defaultRowHeight="12.75" x14ac:dyDescent="0.2"/>
  <cols>
    <col min="1" max="1" width="37.42578125" customWidth="1"/>
    <col min="2" max="3" width="18.28515625" bestFit="1" customWidth="1"/>
    <col min="4" max="4" width="30.85546875" bestFit="1" customWidth="1"/>
    <col min="5" max="5" width="22.85546875" bestFit="1" customWidth="1"/>
    <col min="6" max="6" width="20.5703125" bestFit="1" customWidth="1"/>
  </cols>
  <sheetData>
    <row r="1" spans="1:6" ht="20.100000000000001" customHeight="1" x14ac:dyDescent="0.25">
      <c r="A1" s="37" t="s">
        <v>136</v>
      </c>
      <c r="B1" s="35"/>
      <c r="C1" s="35"/>
      <c r="D1" s="35"/>
      <c r="E1" s="35"/>
      <c r="F1" s="36"/>
    </row>
    <row r="2" spans="1: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2" t="s">
        <v>6</v>
      </c>
      <c r="B3" s="2">
        <f>299+1304+3200+515</f>
        <v>5318</v>
      </c>
      <c r="C3" s="2"/>
      <c r="D3" s="2"/>
      <c r="E3" s="2"/>
      <c r="F3" s="2"/>
    </row>
    <row r="4" spans="1:6" x14ac:dyDescent="0.2">
      <c r="A4" s="2" t="s">
        <v>7</v>
      </c>
      <c r="B4" s="2"/>
      <c r="C4" s="2">
        <v>56700</v>
      </c>
      <c r="D4" s="2"/>
      <c r="E4" s="2"/>
      <c r="F4" s="2"/>
    </row>
    <row r="5" spans="1:6" x14ac:dyDescent="0.2">
      <c r="A5" s="2" t="s">
        <v>8</v>
      </c>
      <c r="B5" s="2">
        <v>49188</v>
      </c>
      <c r="C5" s="2"/>
      <c r="D5" s="2"/>
      <c r="E5" s="2"/>
      <c r="F5" s="2"/>
    </row>
    <row r="6" spans="1:6" x14ac:dyDescent="0.2">
      <c r="A6" s="2" t="s">
        <v>9</v>
      </c>
      <c r="B6" s="2"/>
      <c r="C6" s="2"/>
      <c r="D6" s="2"/>
      <c r="E6" s="2"/>
      <c r="F6" s="2"/>
    </row>
    <row r="7" spans="1:6" x14ac:dyDescent="0.2">
      <c r="A7" s="2" t="s">
        <v>10</v>
      </c>
      <c r="B7" s="2"/>
      <c r="C7" s="2">
        <v>124</v>
      </c>
      <c r="D7" s="2"/>
      <c r="E7" s="2"/>
      <c r="F7" s="2"/>
    </row>
    <row r="8" spans="1:6" x14ac:dyDescent="0.2">
      <c r="A8" s="2" t="s">
        <v>11</v>
      </c>
      <c r="B8" s="2"/>
      <c r="C8" s="2">
        <v>2950</v>
      </c>
      <c r="D8" s="2"/>
      <c r="E8" s="2"/>
      <c r="F8" s="2"/>
    </row>
    <row r="9" spans="1:6" x14ac:dyDescent="0.2">
      <c r="A9" s="2" t="s">
        <v>12</v>
      </c>
      <c r="B9" s="2"/>
      <c r="C9" s="2">
        <v>48</v>
      </c>
      <c r="D9" s="2"/>
      <c r="E9" s="2"/>
      <c r="F9" s="2"/>
    </row>
    <row r="10" spans="1:6" x14ac:dyDescent="0.2">
      <c r="A10" s="2" t="s">
        <v>13</v>
      </c>
      <c r="B10" s="2"/>
      <c r="C10" s="2"/>
      <c r="D10" s="2"/>
      <c r="E10" s="2"/>
      <c r="F10" s="2"/>
    </row>
    <row r="11" spans="1:6" x14ac:dyDescent="0.2">
      <c r="A11" s="2" t="s">
        <v>14</v>
      </c>
      <c r="B11" s="2"/>
      <c r="C11" s="2"/>
      <c r="D11" s="2"/>
      <c r="E11" s="2"/>
      <c r="F11" s="2"/>
    </row>
    <row r="12" spans="1:6" x14ac:dyDescent="0.2">
      <c r="A12" s="2" t="s">
        <v>15</v>
      </c>
      <c r="B12" s="2"/>
      <c r="C12" s="2"/>
      <c r="D12" s="2">
        <v>26367</v>
      </c>
      <c r="E12" s="2"/>
      <c r="F12" s="2"/>
    </row>
    <row r="13" spans="1:6" x14ac:dyDescent="0.2">
      <c r="A13" s="2" t="s">
        <v>16</v>
      </c>
      <c r="B13" s="2"/>
      <c r="C13" s="2">
        <v>549</v>
      </c>
      <c r="D13" s="2"/>
      <c r="E13" s="2"/>
      <c r="F13" s="2"/>
    </row>
    <row r="14" spans="1:6" x14ac:dyDescent="0.2">
      <c r="A14" s="2" t="s">
        <v>17</v>
      </c>
      <c r="B14" s="2"/>
      <c r="C14" s="2"/>
      <c r="D14" s="2"/>
      <c r="E14" s="2"/>
      <c r="F14" s="2"/>
    </row>
    <row r="15" spans="1:6" x14ac:dyDescent="0.2">
      <c r="A15" s="2" t="s">
        <v>18</v>
      </c>
      <c r="B15" s="2"/>
      <c r="C15" s="2"/>
      <c r="D15" s="2"/>
      <c r="E15" s="2"/>
      <c r="F15" s="2"/>
    </row>
    <row r="16" spans="1:6" x14ac:dyDescent="0.2">
      <c r="A16" s="2" t="s">
        <v>19</v>
      </c>
      <c r="B16" s="2"/>
      <c r="C16" s="2"/>
      <c r="D16" s="2"/>
      <c r="E16" s="2"/>
      <c r="F16" s="2"/>
    </row>
    <row r="17" spans="1:6" x14ac:dyDescent="0.2">
      <c r="A17" s="2" t="s">
        <v>20</v>
      </c>
      <c r="B17" s="2"/>
      <c r="C17" s="2">
        <v>25</v>
      </c>
      <c r="D17" s="2"/>
      <c r="E17" s="2"/>
      <c r="F17" s="2"/>
    </row>
    <row r="18" spans="1:6" x14ac:dyDescent="0.2">
      <c r="A18" s="2" t="s">
        <v>21</v>
      </c>
      <c r="B18" s="2"/>
      <c r="C18" s="2"/>
      <c r="D18" s="2"/>
      <c r="E18" s="2"/>
      <c r="F18" s="2"/>
    </row>
    <row r="19" spans="1:6" x14ac:dyDescent="0.2">
      <c r="A19" s="2" t="s">
        <v>22</v>
      </c>
      <c r="B19" s="2"/>
      <c r="C19" s="2">
        <f>106</f>
        <v>106</v>
      </c>
      <c r="D19" s="2"/>
      <c r="E19" s="2"/>
      <c r="F19" s="2"/>
    </row>
    <row r="20" spans="1:6" x14ac:dyDescent="0.2">
      <c r="A20" s="2" t="s">
        <v>23</v>
      </c>
      <c r="B20" s="2"/>
      <c r="C20" s="2">
        <f>4+533</f>
        <v>537</v>
      </c>
      <c r="D20" s="2"/>
      <c r="E20" s="2"/>
      <c r="F20" s="2"/>
    </row>
    <row r="21" spans="1:6" x14ac:dyDescent="0.2">
      <c r="A21" s="2" t="s">
        <v>24</v>
      </c>
      <c r="B21" s="2"/>
      <c r="C21" s="2"/>
      <c r="D21" s="2"/>
      <c r="E21" s="2"/>
      <c r="F21" s="2"/>
    </row>
    <row r="22" spans="1:6" x14ac:dyDescent="0.2">
      <c r="A22" s="2" t="s">
        <v>25</v>
      </c>
      <c r="B22" s="2"/>
      <c r="C22" s="2"/>
      <c r="D22" s="2"/>
      <c r="E22" s="2"/>
      <c r="F22" s="2"/>
    </row>
    <row r="23" spans="1:6" x14ac:dyDescent="0.2">
      <c r="A23" s="2" t="s">
        <v>26</v>
      </c>
      <c r="B23" s="2"/>
      <c r="C23" s="2">
        <f>41+21</f>
        <v>62</v>
      </c>
      <c r="D23" s="2"/>
      <c r="E23" s="2"/>
      <c r="F23" s="2"/>
    </row>
    <row r="24" spans="1:6" x14ac:dyDescent="0.2">
      <c r="A24" s="2" t="s">
        <v>27</v>
      </c>
      <c r="B24" s="2"/>
      <c r="C24" s="2"/>
      <c r="D24" s="2"/>
      <c r="E24" s="2"/>
      <c r="F24" s="2"/>
    </row>
    <row r="25" spans="1:6" x14ac:dyDescent="0.2">
      <c r="A25" s="2" t="s">
        <v>28</v>
      </c>
      <c r="B25" s="2"/>
      <c r="C25" s="2"/>
      <c r="D25" s="2"/>
      <c r="E25" s="2"/>
      <c r="F25" s="2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" t="s">
        <v>29</v>
      </c>
      <c r="B27" s="2"/>
      <c r="C27" s="2">
        <f>275+399+21+121+43+8+598+30+51+170</f>
        <v>1716</v>
      </c>
      <c r="D27" s="2"/>
      <c r="E27" s="2"/>
      <c r="F27" s="2"/>
    </row>
    <row r="28" spans="1:6" x14ac:dyDescent="0.2">
      <c r="A28" s="3" t="s">
        <v>30</v>
      </c>
      <c r="B28" s="3">
        <f>SUM(B3:B27)</f>
        <v>54506</v>
      </c>
      <c r="C28" s="3">
        <f>SUM(C3:C27)</f>
        <v>62817</v>
      </c>
      <c r="D28" s="3">
        <f>SUM(D3:D27)</f>
        <v>26367</v>
      </c>
      <c r="E28" s="3">
        <f>SUM(E3:E27)</f>
        <v>0</v>
      </c>
      <c r="F28" s="3">
        <f>SUM(F3:F27)</f>
        <v>0</v>
      </c>
    </row>
    <row r="29" spans="1:6" ht="6" customHeight="1" x14ac:dyDescent="0.2">
      <c r="A29" s="5"/>
      <c r="B29" s="5"/>
      <c r="C29" s="5"/>
      <c r="D29" s="5"/>
      <c r="E29" s="5"/>
      <c r="F29" s="5"/>
    </row>
    <row r="30" spans="1:6" x14ac:dyDescent="0.2">
      <c r="A30" s="2" t="s">
        <v>31</v>
      </c>
      <c r="B30" s="2">
        <v>473</v>
      </c>
      <c r="C30" s="2"/>
      <c r="D30" s="2"/>
      <c r="E30" s="2"/>
      <c r="F30" s="2"/>
    </row>
    <row r="31" spans="1:6" x14ac:dyDescent="0.2">
      <c r="A31" s="2" t="s">
        <v>32</v>
      </c>
      <c r="B31" s="2"/>
      <c r="C31" s="2"/>
      <c r="D31" s="2"/>
      <c r="E31" s="2"/>
      <c r="F31" s="2"/>
    </row>
    <row r="32" spans="1:6" x14ac:dyDescent="0.2">
      <c r="A32" s="2" t="s">
        <v>33</v>
      </c>
      <c r="B32" s="2"/>
      <c r="C32" s="2"/>
      <c r="D32" s="2"/>
      <c r="E32" s="2"/>
      <c r="F32" s="2">
        <v>7129</v>
      </c>
    </row>
    <row r="33" spans="1:6" x14ac:dyDescent="0.2">
      <c r="A33" s="2" t="s">
        <v>17</v>
      </c>
      <c r="B33" s="2"/>
      <c r="C33" s="2"/>
      <c r="D33" s="2"/>
      <c r="E33" s="2"/>
      <c r="F33" s="2"/>
    </row>
    <row r="34" spans="1:6" x14ac:dyDescent="0.2">
      <c r="A34" s="2" t="s">
        <v>34</v>
      </c>
      <c r="B34" s="2">
        <v>9565</v>
      </c>
      <c r="C34" s="2">
        <v>300</v>
      </c>
      <c r="D34" s="2">
        <v>26247</v>
      </c>
      <c r="E34" s="2"/>
      <c r="F34" s="2"/>
    </row>
    <row r="35" spans="1:6" x14ac:dyDescent="0.2">
      <c r="A35" s="2" t="s">
        <v>22</v>
      </c>
      <c r="B35" s="2"/>
      <c r="C35" s="2">
        <v>118</v>
      </c>
      <c r="D35" s="2"/>
      <c r="E35" s="2"/>
      <c r="F35" s="2"/>
    </row>
    <row r="36" spans="1:6" x14ac:dyDescent="0.2">
      <c r="A36" s="2" t="s">
        <v>35</v>
      </c>
      <c r="B36" s="2">
        <f>719+85+26</f>
        <v>830</v>
      </c>
      <c r="C36" s="2"/>
      <c r="D36" s="2"/>
      <c r="E36" s="2"/>
      <c r="F36" s="2"/>
    </row>
    <row r="37" spans="1:6" x14ac:dyDescent="0.2">
      <c r="A37" s="2" t="s">
        <v>36</v>
      </c>
      <c r="B37" s="2"/>
      <c r="C37" s="2"/>
      <c r="D37" s="2">
        <v>820</v>
      </c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 t="s">
        <v>29</v>
      </c>
      <c r="B39" s="2"/>
      <c r="C39" s="2"/>
      <c r="D39" s="2"/>
      <c r="E39" s="2"/>
      <c r="F39" s="2"/>
    </row>
    <row r="40" spans="1:6" x14ac:dyDescent="0.2">
      <c r="A40" s="3" t="s">
        <v>37</v>
      </c>
      <c r="B40" s="3">
        <f>SUM(B30:B39)</f>
        <v>10868</v>
      </c>
      <c r="C40" s="3">
        <f>SUM(C30:C39)</f>
        <v>418</v>
      </c>
      <c r="D40" s="3">
        <f>SUM(D30:D39)</f>
        <v>27067</v>
      </c>
      <c r="E40" s="3">
        <f>SUM(E30:E39)</f>
        <v>0</v>
      </c>
      <c r="F40" s="3">
        <f>SUM(F30:F39)</f>
        <v>7129</v>
      </c>
    </row>
    <row r="41" spans="1:6" ht="6" customHeight="1" x14ac:dyDescent="0.2">
      <c r="A41" s="5"/>
      <c r="B41" s="5"/>
      <c r="C41" s="5"/>
      <c r="D41" s="5"/>
      <c r="E41" s="5"/>
      <c r="F41" s="5"/>
    </row>
    <row r="42" spans="1:6" x14ac:dyDescent="0.2">
      <c r="A42" s="2" t="s">
        <v>38</v>
      </c>
      <c r="B42" s="2"/>
      <c r="C42" s="2"/>
      <c r="D42" s="2"/>
      <c r="E42" s="2"/>
      <c r="F42" s="2"/>
    </row>
    <row r="43" spans="1:6" x14ac:dyDescent="0.2">
      <c r="A43" s="2" t="s">
        <v>39</v>
      </c>
      <c r="B43" s="2">
        <v>216</v>
      </c>
      <c r="C43" s="2"/>
      <c r="D43" s="2"/>
      <c r="E43" s="2"/>
      <c r="F43" s="2"/>
    </row>
    <row r="44" spans="1:6" x14ac:dyDescent="0.2">
      <c r="A44" s="2" t="s">
        <v>40</v>
      </c>
      <c r="B44" s="2">
        <v>50</v>
      </c>
      <c r="C44" s="2"/>
      <c r="D44" s="2"/>
      <c r="E44" s="2"/>
      <c r="F44" s="2"/>
    </row>
    <row r="45" spans="1:6" x14ac:dyDescent="0.2">
      <c r="A45" s="2" t="s">
        <v>41</v>
      </c>
      <c r="B45" s="2"/>
      <c r="C45" s="2"/>
      <c r="D45" s="2"/>
      <c r="E45" s="2"/>
      <c r="F45" s="2"/>
    </row>
    <row r="46" spans="1:6" x14ac:dyDescent="0.2">
      <c r="A46" s="2" t="s">
        <v>42</v>
      </c>
      <c r="B46" s="2"/>
      <c r="C46" s="2"/>
      <c r="D46" s="2"/>
      <c r="E46" s="2"/>
      <c r="F46" s="2"/>
    </row>
    <row r="47" spans="1:6" x14ac:dyDescent="0.2">
      <c r="A47" s="2" t="s">
        <v>43</v>
      </c>
      <c r="B47" s="2">
        <v>106</v>
      </c>
      <c r="C47" s="2"/>
      <c r="D47" s="2"/>
      <c r="E47" s="2"/>
      <c r="F47" s="2"/>
    </row>
    <row r="48" spans="1:6" x14ac:dyDescent="0.2">
      <c r="A48" s="2" t="s">
        <v>44</v>
      </c>
      <c r="B48" s="2">
        <v>66</v>
      </c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 t="s">
        <v>29</v>
      </c>
      <c r="B50" s="2"/>
      <c r="C50" s="2"/>
      <c r="D50" s="2"/>
      <c r="E50" s="2"/>
      <c r="F50" s="2"/>
    </row>
    <row r="51" spans="1:6" x14ac:dyDescent="0.2">
      <c r="A51" s="3" t="s">
        <v>45</v>
      </c>
      <c r="B51" s="3">
        <f>SUM(B42:B50)</f>
        <v>438</v>
      </c>
      <c r="C51" s="3">
        <f>SUM(C42:C50)</f>
        <v>0</v>
      </c>
      <c r="D51" s="3">
        <f>SUM(D42:D50)</f>
        <v>0</v>
      </c>
      <c r="E51" s="3">
        <f>SUM(E42:E50)</f>
        <v>0</v>
      </c>
      <c r="F51" s="3">
        <f>SUM(F42:F50)</f>
        <v>0</v>
      </c>
    </row>
    <row r="52" spans="1:6" ht="6" customHeight="1" x14ac:dyDescent="0.2">
      <c r="A52" s="5"/>
      <c r="B52" s="5"/>
      <c r="C52" s="5"/>
      <c r="D52" s="5"/>
      <c r="E52" s="5"/>
      <c r="F52" s="5"/>
    </row>
    <row r="53" spans="1:6" x14ac:dyDescent="0.2">
      <c r="A53" s="2" t="s">
        <v>46</v>
      </c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 t="s">
        <v>29</v>
      </c>
      <c r="B55" s="2"/>
      <c r="C55" s="2"/>
      <c r="D55" s="2"/>
      <c r="E55" s="2"/>
      <c r="F55" s="2"/>
    </row>
    <row r="56" spans="1:6" x14ac:dyDescent="0.2">
      <c r="A56" s="3" t="s">
        <v>47</v>
      </c>
      <c r="B56" s="3">
        <f>SUM(B53:B55)</f>
        <v>0</v>
      </c>
      <c r="C56" s="3">
        <f>SUM(C53:C55)</f>
        <v>0</v>
      </c>
      <c r="D56" s="3">
        <f>SUM(D53:D55)</f>
        <v>0</v>
      </c>
      <c r="E56" s="3">
        <f>SUM(E53:E55)</f>
        <v>0</v>
      </c>
      <c r="F56" s="3">
        <f>SUM(F53:F55)</f>
        <v>0</v>
      </c>
    </row>
    <row r="57" spans="1:6" ht="6" customHeight="1" x14ac:dyDescent="0.2">
      <c r="A57" s="5"/>
      <c r="B57" s="5"/>
      <c r="C57" s="5"/>
      <c r="D57" s="5"/>
      <c r="E57" s="5"/>
      <c r="F57" s="5"/>
    </row>
    <row r="58" spans="1:6" x14ac:dyDescent="0.2">
      <c r="A58" s="2" t="s">
        <v>48</v>
      </c>
      <c r="B58" s="2"/>
      <c r="C58" s="2"/>
      <c r="D58" s="2"/>
      <c r="E58" s="2"/>
      <c r="F58" s="2"/>
    </row>
    <row r="59" spans="1:6" x14ac:dyDescent="0.2">
      <c r="A59" s="2" t="s">
        <v>49</v>
      </c>
      <c r="B59" s="2"/>
      <c r="C59" s="2"/>
      <c r="D59" s="2"/>
      <c r="E59" s="2"/>
      <c r="F59" s="2"/>
    </row>
    <row r="60" spans="1:6" x14ac:dyDescent="0.2">
      <c r="A60" s="2" t="s">
        <v>50</v>
      </c>
      <c r="B60" s="2"/>
      <c r="C60" s="2"/>
      <c r="D60" s="2"/>
      <c r="E60" s="2"/>
      <c r="F60" s="2"/>
    </row>
    <row r="61" spans="1:6" x14ac:dyDescent="0.2">
      <c r="A61" s="2" t="s">
        <v>51</v>
      </c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 t="s">
        <v>29</v>
      </c>
      <c r="B63" s="2"/>
      <c r="C63" s="2"/>
      <c r="D63" s="2"/>
      <c r="E63" s="2"/>
      <c r="F63" s="2"/>
    </row>
    <row r="64" spans="1:6" x14ac:dyDescent="0.2">
      <c r="A64" s="3" t="s">
        <v>52</v>
      </c>
      <c r="B64" s="3">
        <f>SUM(B58:B63)</f>
        <v>0</v>
      </c>
      <c r="C64" s="3">
        <f>SUM(C58:C63)</f>
        <v>0</v>
      </c>
      <c r="D64" s="3">
        <f>SUM(D58:D63)</f>
        <v>0</v>
      </c>
      <c r="E64" s="3">
        <f>SUM(E58:E63)</f>
        <v>0</v>
      </c>
      <c r="F64" s="3">
        <f>SUM(F58:F63)</f>
        <v>0</v>
      </c>
    </row>
    <row r="65" spans="1:6" ht="6" customHeight="1" x14ac:dyDescent="0.2">
      <c r="A65" s="5"/>
      <c r="B65" s="5"/>
      <c r="C65" s="5"/>
      <c r="D65" s="5"/>
      <c r="E65" s="5"/>
      <c r="F65" s="5"/>
    </row>
    <row r="66" spans="1:6" x14ac:dyDescent="0.2">
      <c r="A66" s="2" t="s">
        <v>53</v>
      </c>
      <c r="B66" s="2"/>
      <c r="C66" s="2"/>
      <c r="D66" s="2"/>
      <c r="E66" s="2"/>
      <c r="F66" s="2"/>
    </row>
    <row r="67" spans="1:6" x14ac:dyDescent="0.2">
      <c r="A67" s="2" t="s">
        <v>54</v>
      </c>
      <c r="B67" s="2"/>
      <c r="C67" s="2"/>
      <c r="D67" s="2"/>
      <c r="E67" s="2"/>
      <c r="F67" s="2"/>
    </row>
    <row r="68" spans="1:6" x14ac:dyDescent="0.2">
      <c r="A68" s="2" t="s">
        <v>55</v>
      </c>
      <c r="B68" s="2"/>
      <c r="C68" s="2"/>
      <c r="D68" s="2"/>
      <c r="E68" s="2"/>
      <c r="F68" s="2"/>
    </row>
    <row r="69" spans="1:6" x14ac:dyDescent="0.2">
      <c r="A69" s="2" t="s">
        <v>56</v>
      </c>
      <c r="B69" s="2"/>
      <c r="C69" s="2"/>
      <c r="D69" s="2"/>
      <c r="E69" s="2"/>
      <c r="F69" s="2"/>
    </row>
    <row r="70" spans="1:6" x14ac:dyDescent="0.2">
      <c r="A70" s="2" t="s">
        <v>57</v>
      </c>
      <c r="B70" s="2"/>
      <c r="C70" s="2"/>
      <c r="D70" s="2"/>
      <c r="E70" s="2"/>
      <c r="F70" s="2"/>
    </row>
    <row r="71" spans="1:6" x14ac:dyDescent="0.2">
      <c r="A71" s="2" t="s">
        <v>21</v>
      </c>
      <c r="B71" s="2"/>
      <c r="C71" s="2"/>
      <c r="D71" s="2"/>
      <c r="E71" s="2"/>
      <c r="F71" s="2"/>
    </row>
    <row r="72" spans="1:6" x14ac:dyDescent="0.2">
      <c r="A72" s="2" t="s">
        <v>58</v>
      </c>
      <c r="B72" s="2"/>
      <c r="C72" s="2"/>
      <c r="D72" s="2"/>
      <c r="E72" s="2"/>
      <c r="F72" s="2"/>
    </row>
    <row r="73" spans="1:6" x14ac:dyDescent="0.2">
      <c r="A73" s="2" t="s">
        <v>59</v>
      </c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 t="s">
        <v>29</v>
      </c>
      <c r="B75" s="2">
        <v>925</v>
      </c>
      <c r="C75" s="2">
        <f>502+175+12+10+2</f>
        <v>701</v>
      </c>
      <c r="D75" s="2"/>
      <c r="E75" s="2"/>
      <c r="F75" s="2"/>
    </row>
    <row r="76" spans="1:6" x14ac:dyDescent="0.2">
      <c r="A76" s="3" t="s">
        <v>60</v>
      </c>
      <c r="B76" s="3">
        <f>SUM(B66:B75)</f>
        <v>925</v>
      </c>
      <c r="C76" s="3">
        <f>SUM(C66:C75)</f>
        <v>701</v>
      </c>
      <c r="D76" s="3">
        <f>SUM(D66:D75)</f>
        <v>0</v>
      </c>
      <c r="E76" s="3">
        <f>SUM(E66:E75)</f>
        <v>0</v>
      </c>
      <c r="F76" s="3">
        <f>SUM(F66:F75)</f>
        <v>0</v>
      </c>
    </row>
    <row r="77" spans="1:6" ht="6" customHeight="1" x14ac:dyDescent="0.2">
      <c r="A77" s="5"/>
      <c r="B77" s="5"/>
      <c r="C77" s="5"/>
      <c r="D77" s="5"/>
      <c r="E77" s="5"/>
      <c r="F77" s="5"/>
    </row>
    <row r="78" spans="1:6" x14ac:dyDescent="0.2">
      <c r="A78" s="6" t="s">
        <v>61</v>
      </c>
      <c r="B78" s="7">
        <f>SUM(B3:B77)/2</f>
        <v>66737</v>
      </c>
      <c r="C78" s="7">
        <f>SUM(C3:C77)/2</f>
        <v>63936</v>
      </c>
      <c r="D78" s="7">
        <f>SUM(D3:D77)/2</f>
        <v>53434</v>
      </c>
      <c r="E78" s="7">
        <f>SUM(E3:E77)/2</f>
        <v>0</v>
      </c>
      <c r="F78" s="7">
        <f>SUM(F3:F77)/2</f>
        <v>7129</v>
      </c>
    </row>
    <row r="79" spans="1:6" ht="24.95" customHeight="1" x14ac:dyDescent="0.2">
      <c r="A79" s="3" t="s">
        <v>62</v>
      </c>
      <c r="B79" s="24">
        <f>SUM(B78:F78)</f>
        <v>191236</v>
      </c>
      <c r="C79" s="25"/>
      <c r="D79" s="25"/>
      <c r="E79" s="25"/>
      <c r="F79" s="25"/>
    </row>
    <row r="80" spans="1:6" x14ac:dyDescent="0.2">
      <c r="A80" s="38" t="s">
        <v>137</v>
      </c>
      <c r="B80" s="9"/>
      <c r="C80" s="9"/>
      <c r="D80" s="9"/>
      <c r="E80" s="9"/>
      <c r="F80" s="9"/>
    </row>
    <row r="81" spans="1:6" x14ac:dyDescent="0.2">
      <c r="A81" s="11" t="s">
        <v>63</v>
      </c>
      <c r="B81" s="10"/>
      <c r="D81" s="16" t="s">
        <v>70</v>
      </c>
      <c r="E81" s="14"/>
      <c r="F81" s="15"/>
    </row>
    <row r="82" spans="1:6" x14ac:dyDescent="0.2">
      <c r="A82" s="12" t="s">
        <v>8</v>
      </c>
      <c r="B82" s="12">
        <f>B28</f>
        <v>54506</v>
      </c>
      <c r="D82" s="26" t="s">
        <v>71</v>
      </c>
      <c r="E82" s="27"/>
      <c r="F82" s="17">
        <v>1</v>
      </c>
    </row>
    <row r="83" spans="1:6" x14ac:dyDescent="0.2">
      <c r="A83" s="12" t="s">
        <v>64</v>
      </c>
      <c r="B83" s="12">
        <f>B40</f>
        <v>10868</v>
      </c>
      <c r="D83" s="26" t="s">
        <v>72</v>
      </c>
      <c r="E83" s="27"/>
      <c r="F83" s="17">
        <v>0</v>
      </c>
    </row>
    <row r="84" spans="1:6" x14ac:dyDescent="0.2">
      <c r="A84" s="12" t="s">
        <v>65</v>
      </c>
      <c r="B84" s="12">
        <f>B56</f>
        <v>0</v>
      </c>
      <c r="D84" s="26" t="s">
        <v>73</v>
      </c>
      <c r="E84" s="27"/>
      <c r="F84" s="17">
        <v>1</v>
      </c>
    </row>
    <row r="85" spans="1:6" x14ac:dyDescent="0.2">
      <c r="A85" s="12" t="s">
        <v>66</v>
      </c>
      <c r="B85" s="12">
        <f>B64</f>
        <v>0</v>
      </c>
      <c r="D85" s="26" t="s">
        <v>74</v>
      </c>
      <c r="E85" s="27"/>
      <c r="F85" s="17">
        <v>4</v>
      </c>
    </row>
    <row r="86" spans="1:6" x14ac:dyDescent="0.2">
      <c r="A86" s="12" t="s">
        <v>67</v>
      </c>
      <c r="B86" s="12">
        <f>B51</f>
        <v>438</v>
      </c>
      <c r="D86" s="26" t="s">
        <v>75</v>
      </c>
      <c r="E86" s="27"/>
      <c r="F86" s="17">
        <v>0</v>
      </c>
    </row>
    <row r="87" spans="1:6" x14ac:dyDescent="0.2">
      <c r="A87" s="12" t="s">
        <v>68</v>
      </c>
      <c r="B87" s="12">
        <f>B76</f>
        <v>925</v>
      </c>
      <c r="D87" s="26" t="s">
        <v>76</v>
      </c>
      <c r="E87" s="27"/>
      <c r="F87" s="17">
        <v>261</v>
      </c>
    </row>
    <row r="88" spans="1:6" x14ac:dyDescent="0.2">
      <c r="A88" s="13" t="s">
        <v>69</v>
      </c>
      <c r="B88" s="13">
        <f>SUM(B81:B87)</f>
        <v>66737</v>
      </c>
      <c r="D88" s="26" t="s">
        <v>77</v>
      </c>
      <c r="E88" s="27"/>
      <c r="F88" s="17">
        <v>2</v>
      </c>
    </row>
    <row r="89" spans="1:6" x14ac:dyDescent="0.2">
      <c r="D89" s="26" t="s">
        <v>78</v>
      </c>
      <c r="E89" s="27"/>
      <c r="F89" s="17">
        <v>185</v>
      </c>
    </row>
    <row r="90" spans="1:6" x14ac:dyDescent="0.2">
      <c r="A90" s="20" t="s">
        <v>84</v>
      </c>
      <c r="B90" s="19"/>
      <c r="D90" s="26" t="s">
        <v>79</v>
      </c>
      <c r="E90" s="27"/>
      <c r="F90" s="17">
        <v>0</v>
      </c>
    </row>
    <row r="91" spans="1:6" x14ac:dyDescent="0.2">
      <c r="A91" s="21" t="s">
        <v>7</v>
      </c>
      <c r="B91" s="21">
        <f>C4</f>
        <v>56700</v>
      </c>
      <c r="D91" s="26" t="s">
        <v>80</v>
      </c>
      <c r="E91" s="27"/>
      <c r="F91" s="17">
        <v>2</v>
      </c>
    </row>
    <row r="92" spans="1:6" x14ac:dyDescent="0.2">
      <c r="A92" s="21" t="s">
        <v>11</v>
      </c>
      <c r="B92" s="21">
        <f>C8</f>
        <v>2950</v>
      </c>
      <c r="D92" s="26" t="s">
        <v>81</v>
      </c>
      <c r="E92" s="27"/>
      <c r="F92" s="17">
        <v>0</v>
      </c>
    </row>
    <row r="93" spans="1:6" x14ac:dyDescent="0.2">
      <c r="A93" s="21" t="s">
        <v>85</v>
      </c>
      <c r="B93" s="21">
        <f>C78-C4-C8-C72</f>
        <v>4286</v>
      </c>
      <c r="D93" s="26" t="s">
        <v>82</v>
      </c>
      <c r="E93" s="27"/>
      <c r="F93" s="17">
        <v>4</v>
      </c>
    </row>
    <row r="94" spans="1:6" x14ac:dyDescent="0.2">
      <c r="A94" s="21" t="s">
        <v>86</v>
      </c>
      <c r="B94" s="21">
        <f>C72</f>
        <v>0</v>
      </c>
      <c r="D94" s="28" t="s">
        <v>83</v>
      </c>
      <c r="E94" s="29"/>
      <c r="F94" s="18">
        <f>SUM(F82:F93)</f>
        <v>460</v>
      </c>
    </row>
    <row r="95" spans="1:6" x14ac:dyDescent="0.2">
      <c r="A95" s="22" t="s">
        <v>87</v>
      </c>
      <c r="B95" s="22">
        <f>SUM(B91:B94)</f>
        <v>63936</v>
      </c>
    </row>
    <row r="97" spans="1:6" x14ac:dyDescent="0.2">
      <c r="C97" s="39" t="s">
        <v>136</v>
      </c>
    </row>
    <row r="98" spans="1:6" x14ac:dyDescent="0.2">
      <c r="A98" s="30" t="s">
        <v>88</v>
      </c>
      <c r="B98" s="31"/>
      <c r="C98" s="31"/>
      <c r="D98" s="31"/>
      <c r="E98" s="31"/>
      <c r="F98" s="31"/>
    </row>
    <row r="99" spans="1:6" x14ac:dyDescent="0.2">
      <c r="A99" s="4" t="s">
        <v>89</v>
      </c>
      <c r="B99" s="4" t="s">
        <v>90</v>
      </c>
      <c r="C99" s="4" t="s">
        <v>91</v>
      </c>
      <c r="D99" s="4" t="s">
        <v>92</v>
      </c>
      <c r="E99" s="4" t="s">
        <v>93</v>
      </c>
      <c r="F99" s="4" t="s">
        <v>94</v>
      </c>
    </row>
    <row r="100" spans="1:6" x14ac:dyDescent="0.2">
      <c r="A100" s="3" t="s">
        <v>95</v>
      </c>
      <c r="B100" s="3">
        <v>417</v>
      </c>
      <c r="C100" s="3"/>
      <c r="D100" s="3">
        <v>560</v>
      </c>
      <c r="E100" s="3">
        <v>63</v>
      </c>
      <c r="F100" s="3">
        <f>SUM(B100:E100)*2</f>
        <v>2080</v>
      </c>
    </row>
    <row r="101" spans="1:6" x14ac:dyDescent="0.2">
      <c r="A101" s="3" t="s">
        <v>96</v>
      </c>
      <c r="B101" s="2"/>
      <c r="C101" s="2"/>
      <c r="D101" s="2"/>
      <c r="E101" s="2"/>
      <c r="F101" s="2">
        <f>SUM(B101:E101)*2</f>
        <v>0</v>
      </c>
    </row>
    <row r="102" spans="1:6" x14ac:dyDescent="0.2">
      <c r="A102" s="3" t="s">
        <v>98</v>
      </c>
      <c r="B102" s="3">
        <v>223</v>
      </c>
      <c r="C102" s="3">
        <v>262</v>
      </c>
      <c r="D102" s="3">
        <v>140</v>
      </c>
      <c r="E102" s="3">
        <v>107</v>
      </c>
      <c r="F102" s="3">
        <f>SUM(B102:E102)</f>
        <v>732</v>
      </c>
    </row>
    <row r="103" spans="1:6" x14ac:dyDescent="0.2">
      <c r="A103" s="3" t="s">
        <v>97</v>
      </c>
      <c r="B103" s="3">
        <v>34</v>
      </c>
      <c r="C103" s="3">
        <v>66</v>
      </c>
      <c r="D103" s="3">
        <v>10</v>
      </c>
      <c r="E103" s="3">
        <v>28</v>
      </c>
      <c r="F103" s="3">
        <f>SUM(B103:E103)*2</f>
        <v>276</v>
      </c>
    </row>
    <row r="104" spans="1:6" x14ac:dyDescent="0.2">
      <c r="A104" s="3" t="s">
        <v>99</v>
      </c>
      <c r="B104" s="2"/>
      <c r="C104" s="2"/>
      <c r="D104" s="2"/>
      <c r="E104" s="2"/>
      <c r="F104" s="2">
        <f>SUM(B104:E104)*2</f>
        <v>0</v>
      </c>
    </row>
    <row r="105" spans="1:6" s="1" customFormat="1" x14ac:dyDescent="0.2">
      <c r="A105" s="3" t="s">
        <v>100</v>
      </c>
      <c r="B105" s="2"/>
      <c r="C105" s="2"/>
      <c r="D105" s="2"/>
      <c r="E105" s="2"/>
      <c r="F105" s="2">
        <f>SUM(B105:E105)*2</f>
        <v>0</v>
      </c>
    </row>
    <row r="106" spans="1:6" x14ac:dyDescent="0.2">
      <c r="A106" s="3" t="s">
        <v>101</v>
      </c>
      <c r="B106" s="2"/>
      <c r="C106" s="2"/>
      <c r="D106" s="2"/>
      <c r="E106" s="2"/>
      <c r="F106" s="2">
        <f>SUM(B106:E106)*2</f>
        <v>0</v>
      </c>
    </row>
    <row r="107" spans="1:6" s="1" customFormat="1" x14ac:dyDescent="0.2">
      <c r="A107" s="3" t="s">
        <v>102</v>
      </c>
      <c r="B107" s="2"/>
      <c r="C107" s="2"/>
      <c r="D107" s="2"/>
      <c r="E107" s="2"/>
      <c r="F107" s="2">
        <f>SUM(B107:E107)</f>
        <v>0</v>
      </c>
    </row>
    <row r="108" spans="1:6" s="1" customFormat="1" x14ac:dyDescent="0.2">
      <c r="A108" s="3" t="s">
        <v>103</v>
      </c>
      <c r="B108" s="2"/>
      <c r="C108" s="2"/>
      <c r="D108" s="2"/>
      <c r="E108" s="2"/>
      <c r="F108" s="2">
        <f>SUM(B108:E108)</f>
        <v>0</v>
      </c>
    </row>
    <row r="109" spans="1:6" x14ac:dyDescent="0.2">
      <c r="A109" s="23" t="s">
        <v>104</v>
      </c>
      <c r="B109" s="23">
        <f>SUM(B99:B108)</f>
        <v>674</v>
      </c>
      <c r="C109" s="23">
        <f>SUM(C99:C108)</f>
        <v>328</v>
      </c>
      <c r="D109" s="23">
        <f>SUM(D99:D108)</f>
        <v>710</v>
      </c>
      <c r="E109" s="23">
        <f>SUM(E99:E108)</f>
        <v>198</v>
      </c>
      <c r="F109" s="23">
        <f>SUM(F99:F108)</f>
        <v>3088</v>
      </c>
    </row>
    <row r="110" spans="1:6" ht="15.75" x14ac:dyDescent="0.25">
      <c r="A110" s="3" t="s">
        <v>105</v>
      </c>
      <c r="B110" s="32">
        <f>SUM(B109:E109)</f>
        <v>1910</v>
      </c>
      <c r="C110" s="33"/>
      <c r="D110" s="33"/>
      <c r="E110" s="34"/>
    </row>
  </sheetData>
  <sheetProtection sheet="1" objects="1" scenarios="1"/>
  <mergeCells count="17">
    <mergeCell ref="A98:F98"/>
    <mergeCell ref="B110:E110"/>
    <mergeCell ref="D94:E94"/>
    <mergeCell ref="D90:E90"/>
    <mergeCell ref="D91:E91"/>
    <mergeCell ref="D92:E92"/>
    <mergeCell ref="D93:E93"/>
    <mergeCell ref="D85:E85"/>
    <mergeCell ref="D86:E86"/>
    <mergeCell ref="D87:E87"/>
    <mergeCell ref="D88:E88"/>
    <mergeCell ref="D89:E89"/>
    <mergeCell ref="A1:F1"/>
    <mergeCell ref="B79:F79"/>
    <mergeCell ref="D82:E82"/>
    <mergeCell ref="D83:E83"/>
    <mergeCell ref="D84:E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1er Semestre</vt:lpstr>
      <vt:lpstr>Julio</vt:lpstr>
      <vt:lpstr>Agosto</vt:lpstr>
      <vt:lpstr>Septiembre</vt:lpstr>
      <vt:lpstr>Octubre</vt:lpstr>
      <vt:lpstr>Noviembre</vt:lpstr>
      <vt:lpstr>Diciembre</vt:lpstr>
      <vt:lpstr>2do Semestre </vt:lpstr>
      <vt:lpstr>Resumen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Karen Apablaza</cp:lastModifiedBy>
  <dcterms:created xsi:type="dcterms:W3CDTF">2026-03-25T10:48:30Z</dcterms:created>
  <dcterms:modified xsi:type="dcterms:W3CDTF">2026-03-30T14:28:08Z</dcterms:modified>
  <cp:category/>
</cp:coreProperties>
</file>